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ctrlProps/ctrlProp59.xml" ContentType="application/vnd.ms-excel.controlproperties+xml"/>
  <Override PartName="/xl/ctrlProps/ctrlProp20.xml" ContentType="application/vnd.ms-excel.controlproperties+xml"/>
  <Override PartName="/xl/ctrlProps/ctrlProp60.xml" ContentType="application/vnd.ms-excel.controlproperties+xml"/>
  <Override PartName="/xl/ctrlProps/ctrlProp58.xml" ContentType="application/vnd.ms-excel.controlproperties+xml"/>
  <Override PartName="/xl/ctrlProps/ctrlProp62.xml" ContentType="application/vnd.ms-excel.controlproperties+xml"/>
  <Override PartName="/xl/comments9.xml" ContentType="application/vnd.openxmlformats-officedocument.spreadsheetml.comments+xml"/>
  <Override PartName="/xl/ctrlProps/ctrlProp4.xml" ContentType="application/vnd.ms-excel.controlproperties+xml"/>
  <Override PartName="/xl/ctrlProps/ctrlProp3.xml" ContentType="application/vnd.ms-excel.controlproperties+xml"/>
  <Override PartName="/xl/ctrlProps/ctrlProp61.xml" ContentType="application/vnd.ms-excel.controlproperties+xml"/>
  <Override PartName="/xl/ctrlProps/ctrlProp63.xml" ContentType="application/vnd.ms-excel.controlproperties+xml"/>
  <Override PartName="/xl/ctrlProps/ctrlProp56.xml" ContentType="application/vnd.ms-excel.controlproperties+xml"/>
  <Override PartName="/xl/ctrlProps/ctrlProp7.xml" ContentType="application/vnd.ms-excel.controlproperties+xml"/>
  <Override PartName="/xl/comments8.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trlProps/ctrlProp55.xml" ContentType="application/vnd.ms-excel.controlproperties+xml"/>
  <Override PartName="/xl/ctrlProps/ctrlProp57.xml" ContentType="application/vnd.ms-excel.controlproperties+xml"/>
  <Override PartName="/xl/ctrlProps/ctrlProp1.xml" ContentType="application/vnd.ms-excel.controlproperties+xml"/>
  <Override PartName="/xl/ctrlProps/ctrlProp65.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73.xml" ContentType="application/vnd.ms-excel.controlproperties+xml"/>
  <Override PartName="/xl/ctrlProps/ctrlProp72.xml" ContentType="application/vnd.ms-excel.controlproperties+xml"/>
  <Override PartName="/xl/comments7.xml" ContentType="application/vnd.openxmlformats-officedocument.spreadsheetml.comment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0.xml" ContentType="application/vnd.openxmlformats-officedocument.spreadsheetml.comments+xml"/>
  <Override PartName="/xl/ctrlProps/ctrlProp2.xml" ContentType="application/vnd.ms-excel.controlproperties+xml"/>
  <Override PartName="/xl/ctrlProps/ctrlProp64.xml" ContentType="application/vnd.ms-excel.controlproperties+xml"/>
  <Override PartName="/xl/ctrlProps/ctrlProp19.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trlProps/ctrlProp5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trlProps/ctrlProp54.xml" ContentType="application/vnd.ms-excel.controlproperties+xml"/>
  <Override PartName="/xl/ctrlProps/ctrlProp53.xml" ContentType="application/vnd.ms-excel.controlproperties+xml"/>
  <Override PartName="/xl/ctrlProps/ctrlProp9.xml" ContentType="application/vnd.ms-excel.controlproperties+xml"/>
  <Override PartName="/xl/comments4.xml" ContentType="application/vnd.openxmlformats-officedocument.spreadsheetml.comments+xml"/>
  <Override PartName="/xl/ctrlProps/ctrlProp12.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ctrlProps/ctrlProp50.xml" ContentType="application/vnd.ms-excel.controlproperties+xml"/>
  <Override PartName="/xl/ctrlProps/ctrlProp49.xml" ContentType="application/vnd.ms-excel.controlproperties+xml"/>
  <Override PartName="/xl/ctrlProps/ctrlProp8.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215" yWindow="1110" windowWidth="19275" windowHeight="7020" tabRatio="892"/>
  </bookViews>
  <sheets>
    <sheet name="Hovedmenu" sheetId="2" r:id="rId1"/>
    <sheet name="Indtastningsark_halm" sheetId="3" r:id="rId2"/>
    <sheet name="Resultater - halm" sheetId="10" r:id="rId3"/>
    <sheet name="Majs" sheetId="32" r:id="rId4"/>
    <sheet name="Roer" sheetId="4" r:id="rId5"/>
    <sheet name="Rådata roer" sheetId="39" r:id="rId6"/>
    <sheet name="Rådata_majs" sheetId="38" r:id="rId7"/>
    <sheet name="Rådata" sheetId="8" r:id="rId8"/>
    <sheet name="Resultater - majs" sheetId="40" r:id="rId9"/>
    <sheet name="Resultater - roer" sheetId="15" r:id="rId10"/>
    <sheet name="Forudsætninger" sheetId="1" r:id="rId11"/>
    <sheet name="Forudsætninger_Hvede" sheetId="35" r:id="rId12"/>
    <sheet name="Lager" sheetId="42" r:id="rId13"/>
    <sheet name="Ark1" sheetId="37" r:id="rId14"/>
    <sheet name="Indtastningsark - gylle" sheetId="7" r:id="rId15"/>
    <sheet name="Indtastningsark - dybstrøelse" sheetId="6" r:id="rId16"/>
    <sheet name="Resultater - gylle" sheetId="13" r:id="rId17"/>
    <sheet name="Resultater - dybstrøelse" sheetId="14" r:id="rId18"/>
    <sheet name="DRIFT data" sheetId="11" r:id="rId19"/>
  </sheets>
  <externalReferences>
    <externalReference r:id="rId20"/>
  </externalReferences>
  <definedNames>
    <definedName name="Afskrivning">Forudsætninger_Hvede!$S$5</definedName>
    <definedName name="AfstanBrSt">Indtastningsark_halm!$C$35</definedName>
    <definedName name="Afstand">'Ark1'!$J$20</definedName>
    <definedName name="AfstandAnlæg">Indtastningsark_halm!$C$34</definedName>
    <definedName name="AfstandBrSt">Indtastningsark_halm!$C$40</definedName>
    <definedName name="AfstandLager">Indtastningsark_halm!$C$20</definedName>
    <definedName name="AnlægKMperTIME">Indtastningsark_halm!$C$39</definedName>
    <definedName name="AnlægTransportKapNY">Indtastningsark_halm!$C$38</definedName>
    <definedName name="AntalEkBr">'Resultater - halm'!$B$9</definedName>
    <definedName name="Behandling">Indtastningsark_halm!$AL$4</definedName>
    <definedName name="Bigballe_Kap_1mand_Ton">Forudsætninger_Hvede!$C$14</definedName>
    <definedName name="Bigballepresning">Forudsætninger_Hvede!$M$11</definedName>
    <definedName name="Bigballevægt">Forudsætninger_Hvede!$M$17</definedName>
    <definedName name="Br_Forsik">Forudsætninger_Hvede!$S$15</definedName>
    <definedName name="Br_installation">Forudsætninger_Hvede!$S$10</definedName>
    <definedName name="Br_Levetid">Forudsætninger_Hvede!$S$17</definedName>
    <definedName name="Br_Rapshalm">Forudsætninger_Hvede!$W$20</definedName>
    <definedName name="BrAflæsKap">Indtastningsark_halm!$AA$10</definedName>
    <definedName name="BrAfstand">Indtastningsark_halm!$AA$20</definedName>
    <definedName name="BrAntal">'Resultater - halm'!$F$9</definedName>
    <definedName name="BrDrift">Forudsætninger_Hvede!$S$12</definedName>
    <definedName name="BrDriftTon">Forudsætninger_Hvede!$S$13</definedName>
    <definedName name="BrEX_LAGER" localSheetId="8">'Resultater - halm'!#REF!</definedName>
    <definedName name="BrEX_LAGER" localSheetId="5">'Resultater - halm'!#REF!</definedName>
    <definedName name="BrEX_LAGER" localSheetId="6">'Resultater - halm'!#REF!</definedName>
    <definedName name="BrEX_LAGER">'Resultater - halm'!#REF!</definedName>
    <definedName name="Bri_prisdel1">Indtastningsark_halm!$B$59</definedName>
    <definedName name="Briketpresser">Forudsætninger_Hvede!$S$9</definedName>
    <definedName name="BriPrisDel2" localSheetId="8">Indtastningsark_halm!#REF!</definedName>
    <definedName name="BriPrisDel2" localSheetId="5">Indtastningsark_halm!#REF!</definedName>
    <definedName name="BriPrisDel2" localSheetId="6">Indtastningsark_halm!#REF!</definedName>
    <definedName name="BriPrisDel2">Indtastningsark_halm!#REF!</definedName>
    <definedName name="BrKap">Indtastningsark_halm!$B$60</definedName>
    <definedName name="BrLæsseKap">Indtastningsark_halm!$AA$9</definedName>
    <definedName name="BrLæssetimepris">Indtastningsark_halm!$AA$8</definedName>
    <definedName name="BrPrisDel2">Indtastningsark_halm!$B$59:$B$59</definedName>
    <definedName name="BrPrisDel3" localSheetId="8">Indtastningsark_halm!#REF!</definedName>
    <definedName name="BrPrisDel3" localSheetId="5">Indtastningsark_halm!#REF!</definedName>
    <definedName name="BrPrisDel3" localSheetId="6">Indtastningsark_halm!#REF!</definedName>
    <definedName name="BrPrisDel3">Indtastningsark_halm!#REF!</definedName>
    <definedName name="BrPrisSamlet">Forudsætninger_Hvede!$S$11</definedName>
    <definedName name="BrTipKap">Indtastningsark_halm!$AA$23</definedName>
    <definedName name="BrTipvogn">Indtastningsark_halm!$AA$21</definedName>
    <definedName name="BrVedlige">Forudsætninger_Hvede!$S$14</definedName>
    <definedName name="BrYdelse">'Resultater - halm'!$F$12</definedName>
    <definedName name="DensBr">Forudsætninger_Hvede!$M$24</definedName>
    <definedName name="Densitet_bigballe">Forudsætninger_Hvede!$M$18</definedName>
    <definedName name="Efgr">[1]Data!$B$26:$BB$32</definedName>
    <definedName name="Eks_Drift">Indtastningsark_halm!$C$54</definedName>
    <definedName name="Eks_Kap">Indtastningsark_halm!$B$53</definedName>
    <definedName name="Eks_levetid">Indtastningsark_halm!$C$56</definedName>
    <definedName name="Eks_pris">Indtastningsark_halm!$B$52</definedName>
    <definedName name="Eks_Raps">Forudsætninger_Hvede!$W$21</definedName>
    <definedName name="Eks_rente" localSheetId="8">Indtastningsark_halm!#REF!</definedName>
    <definedName name="Eks_rente" localSheetId="5">Indtastningsark_halm!#REF!</definedName>
    <definedName name="Eks_rente" localSheetId="6">Indtastningsark_halm!#REF!</definedName>
    <definedName name="Eks_rente">Indtastningsark_halm!#REF!</definedName>
    <definedName name="Eks_vedlige" localSheetId="8">Indtastningsark_halm!#REF!</definedName>
    <definedName name="Eks_vedlige" localSheetId="5">Indtastningsark_halm!#REF!</definedName>
    <definedName name="Eks_vedlige" localSheetId="6">Indtastningsark_halm!#REF!</definedName>
    <definedName name="Eks_vedlige">Indtastningsark_halm!#REF!</definedName>
    <definedName name="EksForb">'Resultater - halm'!$B$10</definedName>
    <definedName name="Elpris">Forudsætninger_Hvede!$W$9</definedName>
    <definedName name="Elprocent">Forudsætninger_Hvede!$W$7</definedName>
    <definedName name="EnergiMetan">Forudsætninger_Hvede!$W$6</definedName>
    <definedName name="Energipris">Forudsætninger_Hvede!$W$5</definedName>
    <definedName name="Ex_driftogVedlige">Forudsætninger_Hvede!$S$26</definedName>
    <definedName name="EX_forsik">Forudsætninger_Hvede!$S$27</definedName>
    <definedName name="Ex_kap">Forudsætninger_Hvede!$S$28</definedName>
    <definedName name="EX_LAGER" localSheetId="8">'Resultater - halm'!#REF!</definedName>
    <definedName name="EX_LAGER" localSheetId="5">'Resultater - halm'!#REF!</definedName>
    <definedName name="EX_LAGER" localSheetId="6">'Resultater - halm'!#REF!</definedName>
    <definedName name="EX_LAGER">'Resultater - halm'!#REF!</definedName>
    <definedName name="Ex_levetid">Forudsætninger_Hvede!$S$29</definedName>
    <definedName name="Ex_pris">Forudsætninger_Hvede!$S$23</definedName>
    <definedName name="F_kapacitet_baller_1mand" localSheetId="11">Forudsætninger_Hvede!$C$13</definedName>
    <definedName name="F_kapacitet_baller_1mand">Forudsætninger!#REF!</definedName>
    <definedName name="F_Storballepresser" localSheetId="11">Forudsætninger_Hvede!$M$10</definedName>
    <definedName name="F_Storballepresser">Forudsætninger!$M$12</definedName>
    <definedName name="F_Traktor_Vogn_1mand">Forudsætninger!#REF!</definedName>
    <definedName name="Frontlæsse_hast">Forudsætninger_Hvede!$H$12</definedName>
    <definedName name="Frontlæssehast_mark">Forudsætninger_Hvede!$H$11</definedName>
    <definedName name="Hammermølle">Forudsætninger_Hvede!$S$8</definedName>
    <definedName name="Hdg">[1]Data!$B$51:$G$88</definedName>
    <definedName name="Høst2">[1]Data!$B$91:$C$92</definedName>
    <definedName name="HøstUdbytte">Indtastningsark_halm!$C$4</definedName>
    <definedName name="Jordtyper">[1]Data!$B$41:$C$45</definedName>
    <definedName name="KapBigballer">Indtastningsark_halm!$C$22</definedName>
    <definedName name="L_Tipvogn">Forudsætninger_Hvede!$C$26</definedName>
    <definedName name="LAGER_AFSKRIVNING">#REF!</definedName>
    <definedName name="LAGER_KAPACITET">#REF!</definedName>
    <definedName name="LAGER_LEVETID">#REF!</definedName>
    <definedName name="LAGER_LÅN_LØBETID">Forudsætninger_Hvede!$S$31</definedName>
    <definedName name="LAGER_PRIS">#REF!</definedName>
    <definedName name="LAGER_RENTE">#REF!</definedName>
    <definedName name="LAGER_UDNYTTELSE">#REF!</definedName>
    <definedName name="Lagertype">Indtastningsark_halm!$AL$1</definedName>
    <definedName name="Lagring2">[1]Data!$B$95:$C$98</definedName>
    <definedName name="Lastbil2_tonlæs">Forudsætninger_Hvede!$C$27</definedName>
    <definedName name="Lastbil2Vogn">Forudsætninger_Hvede!$C$17</definedName>
    <definedName name="Lastbil3">Forudsætninger_Hvede!$C$20</definedName>
    <definedName name="lastbil3_tonlæs">Forudsætninger_Hvede!$C$21</definedName>
    <definedName name="Lastbil4_tonlæs">Forudsætninger_Hvede!$C$23</definedName>
    <definedName name="Lastbil5">Forudsætninger_Hvede!$C$38</definedName>
    <definedName name="Lastbil5_tonlæs">Forudsætninger_Hvede!$C$39</definedName>
    <definedName name="LastbilHast">Forudsætninger_Hvede!$C$32</definedName>
    <definedName name="LæsseAnlægPris">Indtastningsark_halm!$C$44</definedName>
    <definedName name="LæsseHastAnlæg">Indtastningsark_halm!$C$45</definedName>
    <definedName name="LæsseHastLand">Indtastningsark_halm!$C$29</definedName>
    <definedName name="LæsseLandPris">Indtastningsark_halm!$C$28</definedName>
    <definedName name="Løbetid">Forudsætninger!$S$11</definedName>
    <definedName name="Løbetid10">Forudsætninger_Hvede!$M$29</definedName>
    <definedName name="Majsafstand">Majs!$H$6</definedName>
    <definedName name="MajsEnsDensitet">Forudsætninger!$N$29</definedName>
    <definedName name="MajsJordtype">Majs!$V$2</definedName>
    <definedName name="MajsKøreHast">Majs!$H$8</definedName>
    <definedName name="MajsKøreKap">Majs!$H$9</definedName>
    <definedName name="MajsKørepris">Majs!$H$7</definedName>
    <definedName name="Majsmarkudbytte">Majs!$C$7</definedName>
    <definedName name="majsMetan">Forudsætninger!$V$31</definedName>
    <definedName name="MajsPlansilo">Lager!$I$68</definedName>
    <definedName name="MajsPlansilo2">Lager!$I$62</definedName>
    <definedName name="MajsSnitDensitet">Forudsætninger!$N$28</definedName>
    <definedName name="Majstal">Rådata_majs!$A$21:$T$26</definedName>
    <definedName name="Majsudbytte">Majs!$C$8</definedName>
    <definedName name="MajsVS">Majs!$C$10</definedName>
    <definedName name="MARK_STØRRELSE">Indtastningsark_halm!$C$5</definedName>
    <definedName name="MetanBr">Forudsætninger_Hvede!$W$15</definedName>
    <definedName name="MetanHvedehalm">Forudsætninger_Hvede!$W$14</definedName>
    <definedName name="MetanRaps">Forudsætninger_Hvede!$W$19</definedName>
    <definedName name="Plansilo">Forudsætninger!$S$5</definedName>
    <definedName name="Pligtig2">[1]Data!$B$36:$C$37</definedName>
    <definedName name="PresserKap">Forudsætninger_Hvede!$S$16</definedName>
    <definedName name="Raps_læssehastAnlæg">#REF!</definedName>
    <definedName name="Raps_Transanlæg">#REF!</definedName>
    <definedName name="RapsAfstandLager">#REF!</definedName>
    <definedName name="RapsAnlægTransKap">#REF!</definedName>
    <definedName name="Rapsbehandling">#REF!</definedName>
    <definedName name="Rapsforb">#REF!</definedName>
    <definedName name="RapsHøstudbytte">#REF!</definedName>
    <definedName name="RapslæsseAnlæg">#REF!</definedName>
    <definedName name="RapsLæsseHastAnlæg">#REF!</definedName>
    <definedName name="RapsLæsseHastLand">#REF!</definedName>
    <definedName name="RapsLæsselandmandPris">#REF!</definedName>
    <definedName name="RapsTransAfstand">#REF!</definedName>
    <definedName name="RapsTransHast">#REF!</definedName>
    <definedName name="Rente">Forudsætninger_Hvede!$M$28</definedName>
    <definedName name="Renter">Forudsætninger!$S$10</definedName>
    <definedName name="Roe_gødning">Roer!$AF$1</definedName>
    <definedName name="Roeafstandanlæg">Roer!$H$19</definedName>
    <definedName name="Roeafstandkule">Roer!$H$6</definedName>
    <definedName name="Roedensitet">Forudsætninger!$N$26</definedName>
    <definedName name="RoeJordtype">Roer!$AF$2</definedName>
    <definedName name="Roekulelæs">Roer!$H$15</definedName>
    <definedName name="Roelager">Roer!$AF$5</definedName>
    <definedName name="RoeLæsKule">Roer!$AF$4</definedName>
    <definedName name="Roemarkudbytte">Roer!$C$7</definedName>
    <definedName name="RoeMetan">Forudsætninger!$V$27</definedName>
    <definedName name="Roeplansilo">Lager!$E$92</definedName>
    <definedName name="Roepulpdensitet">Forudsætninger!$N$27</definedName>
    <definedName name="Roerens">Roer!$AF$3</definedName>
    <definedName name="Roetal">'Rådata roer'!$A$18:$U$23</definedName>
    <definedName name="RoeTransAnlægPris">Roer!$H$20</definedName>
    <definedName name="RoeTransKulePris">Roer!$H$7</definedName>
    <definedName name="RoeTS">Roer!$C$9</definedName>
    <definedName name="RoeUdbytte">Roer!$C$8</definedName>
    <definedName name="RoeVS">Roer!$C$10</definedName>
    <definedName name="Sammenrivning">Indtastningsark_halm!$C$16</definedName>
    <definedName name="Storballevægt">Forudsætninger_Hvede!$M$17</definedName>
    <definedName name="T_Tipvogn">Forudsætninger!$D$13</definedName>
    <definedName name="Traktor_Hastighed_mark">Forudsætninger_Hvede!$C$30</definedName>
    <definedName name="TraktorFrontVogn" localSheetId="11">Forudsætninger_Hvede!$C$12</definedName>
    <definedName name="TraktorHalmvogn">Forudsætninger_Hvede!$C$6</definedName>
    <definedName name="TraktorHastVej">Forudsætninger_Hvede!$C$31</definedName>
    <definedName name="TraktorPrisLager">Indtastningsark_halm!$C$21</definedName>
    <definedName name="TransAnlægKap">Indtastningsark_halm!$C$37</definedName>
    <definedName name="TransAnlægPris">Indtastningsark_halm!$C$36</definedName>
    <definedName name="TransBrStPris" localSheetId="8">Indtastningsark_halm!#REF!</definedName>
    <definedName name="TransBrStPris" localSheetId="5">Indtastningsark_halm!#REF!</definedName>
    <definedName name="TransBrStPris" localSheetId="6">Indtastningsark_halm!#REF!</definedName>
    <definedName name="TransBrStPris">Indtastningsark_halm!#REF!</definedName>
    <definedName name="Transport_Hast">Indtastningsark_halm!$C$39</definedName>
    <definedName name="Transport2">[1]Data!$B$101:$C$102</definedName>
    <definedName name="UDBYTTE_PR_HA">Indtastningsark_halm!$C$6</definedName>
    <definedName name="Varmepris">Forudsætninger_Hvede!$W$10</definedName>
    <definedName name="Varmeprocent">Forudsætninger_Hvede!$W$8</definedName>
    <definedName name="VS">Indtastningsark_halm!$C$8</definedName>
    <definedName name="YD_PR_ÅR" localSheetId="8">'Resultater - halm'!#REF!</definedName>
    <definedName name="YD_PR_ÅR" localSheetId="5">'Resultater - halm'!#REF!</definedName>
    <definedName name="YD_PR_ÅR" localSheetId="6">'Resultater - halm'!#REF!</definedName>
    <definedName name="YD_PR_ÅR">'Resultater - halm'!#REF!</definedName>
    <definedName name="YDELSE_PR_ÅR" localSheetId="8">'Resultater - halm'!#REF!</definedName>
    <definedName name="YDELSE_PR_ÅR" localSheetId="5">'Resultater - halm'!#REF!</definedName>
    <definedName name="YDELSE_PR_ÅR" localSheetId="6">'Resultater - halm'!#REF!</definedName>
    <definedName name="YDELSE_PR_ÅR">'Resultater - halm'!#REF!</definedName>
    <definedName name="YdelseMaskiner">'Resultater - halm'!$B$12</definedName>
  </definedNames>
  <calcPr calcId="145621" iterate="1" iterateCount="1000"/>
</workbook>
</file>

<file path=xl/calcChain.xml><?xml version="1.0" encoding="utf-8"?>
<calcChain xmlns="http://schemas.openxmlformats.org/spreadsheetml/2006/main">
  <c r="B11" i="40" l="1"/>
  <c r="B14" i="40"/>
  <c r="B8" i="40"/>
  <c r="H19" i="32" l="1"/>
  <c r="H49" i="42"/>
  <c r="I62" i="42"/>
  <c r="I68" i="42"/>
  <c r="H62" i="42"/>
  <c r="H61" i="42"/>
  <c r="H60" i="42"/>
  <c r="H17" i="32"/>
  <c r="E60" i="42"/>
  <c r="E90" i="42"/>
  <c r="D33" i="42"/>
  <c r="F33" i="42" s="1"/>
  <c r="C95" i="42" l="1"/>
  <c r="C94" i="42"/>
  <c r="A39" i="42"/>
  <c r="A19" i="42"/>
  <c r="A20" i="42"/>
  <c r="A21" i="42"/>
  <c r="A40" i="42"/>
  <c r="A41" i="42"/>
  <c r="A127" i="42"/>
  <c r="A99" i="42"/>
  <c r="A69" i="42"/>
  <c r="A70" i="42"/>
  <c r="A100" i="42"/>
  <c r="H20" i="1"/>
  <c r="H19" i="1"/>
  <c r="H18" i="1"/>
  <c r="H17" i="1"/>
  <c r="H16" i="4" l="1"/>
  <c r="I16" i="4"/>
  <c r="F16" i="4"/>
  <c r="I15" i="4"/>
  <c r="F15" i="4"/>
  <c r="D43" i="39"/>
  <c r="D44" i="39"/>
  <c r="C44" i="39"/>
  <c r="H15" i="4" s="1"/>
  <c r="C43" i="39"/>
  <c r="H8" i="4"/>
  <c r="H7" i="4"/>
  <c r="H21" i="4"/>
  <c r="H20" i="4"/>
  <c r="D31" i="38"/>
  <c r="C31" i="38"/>
  <c r="D30" i="38"/>
  <c r="F10" i="42"/>
  <c r="F12" i="42"/>
  <c r="C17" i="42"/>
  <c r="F18" i="42" s="1"/>
  <c r="I18" i="42"/>
  <c r="I19" i="42"/>
  <c r="C29" i="42"/>
  <c r="C30" i="42" s="1"/>
  <c r="C37" i="42" s="1"/>
  <c r="D32" i="42"/>
  <c r="C49" i="42"/>
  <c r="E49" i="42"/>
  <c r="E56" i="42"/>
  <c r="E57" i="42"/>
  <c r="C79" i="42"/>
  <c r="E79" i="42"/>
  <c r="E86" i="42"/>
  <c r="E87" i="42"/>
  <c r="C108" i="42"/>
  <c r="E108" i="42"/>
  <c r="C123" i="42" s="1"/>
  <c r="E115" i="42"/>
  <c r="E116" i="42"/>
  <c r="C66" i="42" l="1"/>
  <c r="H16" i="32"/>
  <c r="F38" i="42"/>
  <c r="G39" i="42"/>
  <c r="E117" i="42"/>
  <c r="E118" i="42" s="1"/>
  <c r="E119" i="42" s="1"/>
  <c r="I39" i="42"/>
  <c r="E88" i="42"/>
  <c r="E89" i="42" s="1"/>
  <c r="C96" i="42"/>
  <c r="M10" i="4"/>
  <c r="E58" i="42"/>
  <c r="E59" i="42" s="1"/>
  <c r="G19" i="42"/>
  <c r="F124" i="42"/>
  <c r="G125" i="42"/>
  <c r="I124" i="42" l="1"/>
  <c r="A68" i="42"/>
  <c r="E61" i="42"/>
  <c r="F97" i="42"/>
  <c r="E91" i="42"/>
  <c r="K124" i="42"/>
  <c r="A125" i="42"/>
  <c r="I125" i="42"/>
  <c r="A98" i="42"/>
  <c r="K14" i="4" s="1"/>
  <c r="M11" i="4"/>
  <c r="E2" i="4"/>
  <c r="C10" i="4"/>
  <c r="B15" i="15" s="1"/>
  <c r="I15" i="40"/>
  <c r="E31" i="38"/>
  <c r="H8" i="32" s="1"/>
  <c r="E30" i="38"/>
  <c r="E62" i="42" l="1"/>
  <c r="I67" i="42" s="1"/>
  <c r="H18" i="32"/>
  <c r="F67" i="42"/>
  <c r="G68" i="42"/>
  <c r="E92" i="42"/>
  <c r="M12" i="4" s="1"/>
  <c r="I97" i="42"/>
  <c r="I98" i="42"/>
  <c r="M15" i="4" s="1"/>
  <c r="G98" i="42"/>
  <c r="M16" i="4" s="1"/>
  <c r="B16" i="15"/>
  <c r="H9" i="32"/>
  <c r="H7" i="32"/>
  <c r="C30" i="38"/>
  <c r="C10" i="32"/>
  <c r="C11" i="32"/>
  <c r="C8" i="32"/>
  <c r="H15" i="32" s="1"/>
  <c r="B15" i="40" l="1"/>
  <c r="B17" i="40" s="1"/>
  <c r="B19" i="40" s="1"/>
  <c r="H10" i="32"/>
  <c r="B9" i="40" s="1"/>
  <c r="B18" i="15"/>
  <c r="B20" i="15" s="1"/>
  <c r="C11" i="4"/>
  <c r="A10" i="15"/>
  <c r="F29" i="4"/>
  <c r="F38" i="4"/>
  <c r="C8" i="4"/>
  <c r="M31" i="4"/>
  <c r="K22" i="39"/>
  <c r="K23" i="39"/>
  <c r="K21" i="39"/>
  <c r="B3" i="15"/>
  <c r="M45" i="4"/>
  <c r="M44" i="4"/>
  <c r="M43" i="4"/>
  <c r="M42" i="4"/>
  <c r="M41" i="4"/>
  <c r="M40" i="4"/>
  <c r="M39" i="4"/>
  <c r="M28" i="4"/>
  <c r="M27" i="4"/>
  <c r="M26" i="4"/>
  <c r="M25" i="4"/>
  <c r="M30" i="4"/>
  <c r="M29" i="4"/>
  <c r="J38" i="39"/>
  <c r="G40" i="39"/>
  <c r="J40" i="39" s="1"/>
  <c r="G39" i="39"/>
  <c r="J39" i="39" s="1"/>
  <c r="G38" i="39"/>
  <c r="G37" i="39"/>
  <c r="B16" i="40" l="1"/>
  <c r="B18" i="40" s="1"/>
  <c r="B20" i="40" s="1"/>
  <c r="B21" i="40" s="1"/>
  <c r="B17" i="15"/>
  <c r="B19" i="15" s="1"/>
  <c r="J37" i="39"/>
  <c r="H10" i="4"/>
  <c r="H23" i="4"/>
  <c r="C35" i="4"/>
  <c r="V9" i="1"/>
  <c r="F36" i="4"/>
  <c r="H35" i="4"/>
  <c r="H37" i="4" s="1"/>
  <c r="F37" i="4"/>
  <c r="F35" i="4"/>
  <c r="F33" i="4"/>
  <c r="H33" i="4"/>
  <c r="E29" i="39"/>
  <c r="E28" i="39"/>
  <c r="C29" i="39"/>
  <c r="D29" i="39"/>
  <c r="D28" i="39"/>
  <c r="C28" i="39"/>
  <c r="C18" i="4"/>
  <c r="C17" i="4"/>
  <c r="U18" i="39"/>
  <c r="U19" i="39"/>
  <c r="U20" i="39"/>
  <c r="U21" i="39"/>
  <c r="U22" i="39"/>
  <c r="U23" i="39"/>
  <c r="L19" i="39"/>
  <c r="M19" i="39"/>
  <c r="N19" i="39"/>
  <c r="O19" i="39"/>
  <c r="P19" i="39"/>
  <c r="Q19" i="39"/>
  <c r="R19" i="39"/>
  <c r="S19" i="39"/>
  <c r="T19" i="39"/>
  <c r="L20" i="39"/>
  <c r="M20" i="39"/>
  <c r="N20" i="39"/>
  <c r="O20" i="39"/>
  <c r="P20" i="39"/>
  <c r="Q20" i="39"/>
  <c r="R20" i="39"/>
  <c r="S20" i="39"/>
  <c r="T20" i="39"/>
  <c r="C25" i="4"/>
  <c r="L21" i="39"/>
  <c r="M21" i="39"/>
  <c r="N21" i="39"/>
  <c r="O21" i="39"/>
  <c r="P21" i="39"/>
  <c r="Q21" i="39"/>
  <c r="R21" i="39"/>
  <c r="S21" i="39"/>
  <c r="C32" i="4" s="1"/>
  <c r="T21" i="39"/>
  <c r="C33" i="4" s="1"/>
  <c r="L22" i="39"/>
  <c r="M22" i="39"/>
  <c r="N22" i="39"/>
  <c r="O22" i="39"/>
  <c r="P22" i="39"/>
  <c r="Q22" i="39"/>
  <c r="R22" i="39"/>
  <c r="S22" i="39"/>
  <c r="T22" i="39"/>
  <c r="L23" i="39"/>
  <c r="M23" i="39"/>
  <c r="N23" i="39"/>
  <c r="O23" i="39"/>
  <c r="P23" i="39"/>
  <c r="Q23" i="39"/>
  <c r="R23" i="39"/>
  <c r="S23" i="39"/>
  <c r="T23" i="39"/>
  <c r="O18" i="39"/>
  <c r="P18" i="39"/>
  <c r="Q18" i="39"/>
  <c r="R18" i="39"/>
  <c r="S18" i="39"/>
  <c r="T18" i="39"/>
  <c r="M18" i="39"/>
  <c r="N18" i="39"/>
  <c r="L18" i="39"/>
  <c r="J18" i="39"/>
  <c r="J19" i="39"/>
  <c r="J20" i="39"/>
  <c r="J21" i="39"/>
  <c r="C24" i="4" s="1"/>
  <c r="J22" i="39"/>
  <c r="J23" i="39"/>
  <c r="H19" i="39"/>
  <c r="I19" i="39"/>
  <c r="H20" i="39"/>
  <c r="I20" i="39"/>
  <c r="H21" i="39"/>
  <c r="C15" i="4" s="1"/>
  <c r="I21" i="39"/>
  <c r="C23" i="4" s="1"/>
  <c r="H22" i="39"/>
  <c r="I22" i="39"/>
  <c r="H23" i="39"/>
  <c r="I23" i="39"/>
  <c r="I18" i="39"/>
  <c r="H18" i="39"/>
  <c r="G19" i="39"/>
  <c r="G20" i="39"/>
  <c r="G21" i="39"/>
  <c r="G22" i="39"/>
  <c r="G23" i="39"/>
  <c r="G18" i="39"/>
  <c r="F19" i="39"/>
  <c r="F20" i="39"/>
  <c r="E18" i="39"/>
  <c r="F18" i="39"/>
  <c r="E19" i="39"/>
  <c r="E20" i="39"/>
  <c r="D19" i="39"/>
  <c r="D20" i="39"/>
  <c r="D21" i="39"/>
  <c r="C16" i="4" s="1"/>
  <c r="D22" i="39"/>
  <c r="D23" i="39"/>
  <c r="D18" i="39"/>
  <c r="C19" i="39"/>
  <c r="C20" i="39"/>
  <c r="C21" i="39"/>
  <c r="C14" i="4" s="1"/>
  <c r="C22" i="39"/>
  <c r="C23" i="39"/>
  <c r="C18" i="39"/>
  <c r="T26" i="38"/>
  <c r="S26" i="38"/>
  <c r="R26" i="38"/>
  <c r="Q26" i="38"/>
  <c r="P26" i="38"/>
  <c r="O26" i="38"/>
  <c r="N26" i="38"/>
  <c r="M26" i="38"/>
  <c r="L26" i="38"/>
  <c r="K26" i="38"/>
  <c r="J26" i="38"/>
  <c r="I26" i="38"/>
  <c r="H26" i="38"/>
  <c r="G26" i="38"/>
  <c r="F26" i="38"/>
  <c r="E26" i="38"/>
  <c r="D26" i="38"/>
  <c r="C26" i="38"/>
  <c r="T25" i="38"/>
  <c r="S25" i="38"/>
  <c r="R25" i="38"/>
  <c r="Q25" i="38"/>
  <c r="P25" i="38"/>
  <c r="O25" i="38"/>
  <c r="N25" i="38"/>
  <c r="M25" i="38"/>
  <c r="L25" i="38"/>
  <c r="K25" i="38"/>
  <c r="J25" i="38"/>
  <c r="I25" i="38"/>
  <c r="H25" i="38"/>
  <c r="G25" i="38"/>
  <c r="F25" i="38"/>
  <c r="E25" i="38"/>
  <c r="D25" i="38"/>
  <c r="C25" i="38"/>
  <c r="T24" i="38"/>
  <c r="S24" i="38"/>
  <c r="R24" i="38"/>
  <c r="Q24" i="38"/>
  <c r="P24" i="38"/>
  <c r="O24" i="38"/>
  <c r="N24" i="38"/>
  <c r="M24" i="38"/>
  <c r="L24" i="38"/>
  <c r="K24" i="38"/>
  <c r="J24" i="38"/>
  <c r="I24" i="38"/>
  <c r="H24" i="38"/>
  <c r="G24" i="38"/>
  <c r="F24" i="38"/>
  <c r="E24" i="38"/>
  <c r="D24" i="38"/>
  <c r="C24" i="38"/>
  <c r="T23" i="38"/>
  <c r="C37" i="32" s="1"/>
  <c r="S23" i="38"/>
  <c r="C36" i="32" s="1"/>
  <c r="R23" i="38"/>
  <c r="C35" i="32" s="1"/>
  <c r="Q23" i="38"/>
  <c r="C34" i="32" s="1"/>
  <c r="P23" i="38"/>
  <c r="C31" i="32" s="1"/>
  <c r="O23" i="38"/>
  <c r="C30" i="32" s="1"/>
  <c r="N23" i="38"/>
  <c r="C29" i="32" s="1"/>
  <c r="M23" i="38"/>
  <c r="C28" i="32" s="1"/>
  <c r="L23" i="38"/>
  <c r="C27" i="32" s="1"/>
  <c r="K23" i="38"/>
  <c r="J23" i="38"/>
  <c r="C25" i="32" s="1"/>
  <c r="I23" i="38"/>
  <c r="H23" i="38"/>
  <c r="C17" i="32" s="1"/>
  <c r="G23" i="38"/>
  <c r="C21" i="32" s="1"/>
  <c r="F23" i="38"/>
  <c r="C20" i="32" s="1"/>
  <c r="E23" i="38"/>
  <c r="C19" i="32" s="1"/>
  <c r="D23" i="38"/>
  <c r="C18" i="32" s="1"/>
  <c r="C23" i="38"/>
  <c r="C16" i="32" s="1"/>
  <c r="T22" i="38"/>
  <c r="S22" i="38"/>
  <c r="R22" i="38"/>
  <c r="Q22" i="38"/>
  <c r="P22" i="38"/>
  <c r="O22" i="38"/>
  <c r="N22" i="38"/>
  <c r="M22" i="38"/>
  <c r="L22" i="38"/>
  <c r="K22" i="38"/>
  <c r="J22" i="38"/>
  <c r="I22" i="38"/>
  <c r="H22" i="38"/>
  <c r="G22" i="38"/>
  <c r="F22" i="38"/>
  <c r="E22" i="38"/>
  <c r="D22" i="38"/>
  <c r="C22" i="38"/>
  <c r="T21" i="38"/>
  <c r="S21" i="38"/>
  <c r="R21" i="38"/>
  <c r="Q21" i="38"/>
  <c r="P21" i="38"/>
  <c r="O21" i="38"/>
  <c r="N21" i="38"/>
  <c r="M21" i="38"/>
  <c r="L21" i="38"/>
  <c r="K21" i="38"/>
  <c r="J21" i="38"/>
  <c r="I21" i="38"/>
  <c r="H21" i="38"/>
  <c r="G21" i="38"/>
  <c r="F21" i="38"/>
  <c r="E21" i="38"/>
  <c r="D21" i="38"/>
  <c r="C21" i="38"/>
  <c r="F28" i="39" l="1"/>
  <c r="H30" i="4"/>
  <c r="H29" i="4"/>
  <c r="B6" i="40"/>
  <c r="F29" i="39"/>
  <c r="H32" i="4" s="1"/>
  <c r="H34" i="4" s="1"/>
  <c r="H31" i="4"/>
  <c r="B6" i="15"/>
  <c r="C30" i="4"/>
  <c r="C26" i="4"/>
  <c r="C28" i="4"/>
  <c r="C34" i="4"/>
  <c r="C31" i="4"/>
  <c r="C27" i="4"/>
  <c r="C29" i="4"/>
  <c r="AA22" i="3"/>
  <c r="AA21" i="3"/>
  <c r="Y21" i="3"/>
  <c r="A36" i="3"/>
  <c r="J6" i="10"/>
  <c r="H38" i="4" l="1"/>
  <c r="B10" i="15" s="1"/>
  <c r="Z50" i="3" l="1"/>
  <c r="Z48" i="3"/>
  <c r="Z46" i="3"/>
  <c r="Z44" i="3"/>
  <c r="Z35" i="3"/>
  <c r="AB52" i="3"/>
  <c r="AF50" i="3"/>
  <c r="AI50" i="3" s="1"/>
  <c r="AK50" i="3" s="1"/>
  <c r="AF48" i="3"/>
  <c r="AF46" i="3"/>
  <c r="AI46" i="3" s="1"/>
  <c r="AF44" i="3"/>
  <c r="Z33" i="3"/>
  <c r="Z31" i="3"/>
  <c r="Z29" i="3"/>
  <c r="AB37" i="3"/>
  <c r="AF35" i="3"/>
  <c r="AI35" i="3" s="1"/>
  <c r="AF33" i="3"/>
  <c r="AI33" i="3" s="1"/>
  <c r="AF31" i="3"/>
  <c r="AF29" i="3"/>
  <c r="A44" i="3"/>
  <c r="A28" i="3"/>
  <c r="S4" i="35"/>
  <c r="B55" i="3"/>
  <c r="C54" i="3"/>
  <c r="B53" i="3"/>
  <c r="B52" i="3"/>
  <c r="S26" i="35"/>
  <c r="AH50" i="3" l="1"/>
  <c r="AK33" i="3"/>
  <c r="AK46" i="3"/>
  <c r="AK35" i="3"/>
  <c r="AH44" i="3"/>
  <c r="AH46" i="3"/>
  <c r="AH48" i="3"/>
  <c r="AH29" i="3"/>
  <c r="AH31" i="3"/>
  <c r="AH33" i="3"/>
  <c r="AH35" i="3"/>
  <c r="S30" i="35"/>
  <c r="I36" i="3"/>
  <c r="I34" i="3"/>
  <c r="I32" i="3"/>
  <c r="I30" i="3"/>
  <c r="I17" i="3"/>
  <c r="I23" i="3"/>
  <c r="I21" i="3"/>
  <c r="I19" i="3"/>
  <c r="K38" i="3"/>
  <c r="O36" i="3"/>
  <c r="R36" i="3" s="1"/>
  <c r="R35" i="3"/>
  <c r="O34" i="3"/>
  <c r="R34" i="3" s="1"/>
  <c r="O32" i="3"/>
  <c r="R32" i="3" s="1"/>
  <c r="R31" i="3"/>
  <c r="O30" i="3"/>
  <c r="M9" i="3"/>
  <c r="M10" i="3"/>
  <c r="M11" i="3"/>
  <c r="M12" i="3"/>
  <c r="I10" i="3"/>
  <c r="I11" i="3"/>
  <c r="I12" i="3"/>
  <c r="I9" i="3"/>
  <c r="K10" i="3"/>
  <c r="K11" i="3"/>
  <c r="K12" i="3"/>
  <c r="K9" i="3"/>
  <c r="O17" i="3"/>
  <c r="R18" i="3"/>
  <c r="O19" i="3"/>
  <c r="O21" i="3"/>
  <c r="R21" i="3" s="1"/>
  <c r="R22" i="3"/>
  <c r="O23" i="3"/>
  <c r="R23" i="3" s="1"/>
  <c r="K25" i="3"/>
  <c r="R17" i="3" l="1"/>
  <c r="AI31" i="3"/>
  <c r="AK31" i="3" s="1"/>
  <c r="AI44" i="3"/>
  <c r="AK44" i="3" s="1"/>
  <c r="AI29" i="3"/>
  <c r="AK29" i="3" s="1"/>
  <c r="AI48" i="3"/>
  <c r="AK48" i="3" s="1"/>
  <c r="AH51" i="3"/>
  <c r="AH36" i="3"/>
  <c r="R30" i="3"/>
  <c r="T30" i="3" s="1"/>
  <c r="T36" i="3"/>
  <c r="Q30" i="3"/>
  <c r="Q19" i="3"/>
  <c r="Q34" i="3"/>
  <c r="Q32" i="3"/>
  <c r="T34" i="3"/>
  <c r="Q36" i="3"/>
  <c r="T32" i="3"/>
  <c r="R19" i="3"/>
  <c r="T19" i="3" s="1"/>
  <c r="Q23" i="3"/>
  <c r="Q21" i="3"/>
  <c r="Q17" i="3"/>
  <c r="T21" i="3"/>
  <c r="F18" i="37"/>
  <c r="F17" i="37"/>
  <c r="F10" i="37"/>
  <c r="F8" i="37"/>
  <c r="F6" i="37"/>
  <c r="H56" i="37"/>
  <c r="F56" i="37"/>
  <c r="D56" i="37"/>
  <c r="H55" i="37"/>
  <c r="F55" i="37"/>
  <c r="D55" i="37"/>
  <c r="H54" i="37"/>
  <c r="F54" i="37"/>
  <c r="D54" i="37"/>
  <c r="I49" i="37"/>
  <c r="F47" i="37"/>
  <c r="I47" i="37" s="1"/>
  <c r="F45" i="37"/>
  <c r="I45" i="37" s="1"/>
  <c r="F44" i="37"/>
  <c r="A44" i="37"/>
  <c r="F43" i="37"/>
  <c r="A43" i="37"/>
  <c r="F41" i="37"/>
  <c r="I41" i="37" s="1"/>
  <c r="F40" i="37"/>
  <c r="F39" i="37"/>
  <c r="F38" i="37"/>
  <c r="F36" i="37"/>
  <c r="I36" i="37" s="1"/>
  <c r="F35" i="37"/>
  <c r="F34" i="37"/>
  <c r="A34" i="37"/>
  <c r="F33" i="37"/>
  <c r="F32" i="37"/>
  <c r="F31" i="37"/>
  <c r="F30" i="37"/>
  <c r="F28" i="37"/>
  <c r="I28" i="37" s="1"/>
  <c r="F27" i="37"/>
  <c r="F26" i="37"/>
  <c r="F22" i="37"/>
  <c r="F21" i="37"/>
  <c r="F20" i="37"/>
  <c r="F19" i="37"/>
  <c r="F14" i="37"/>
  <c r="F7" i="37"/>
  <c r="AK37" i="3" l="1"/>
  <c r="AK52" i="3"/>
  <c r="Q37" i="3"/>
  <c r="T38" i="3" s="1"/>
  <c r="Q24" i="3"/>
  <c r="T17" i="3"/>
  <c r="T23" i="3"/>
  <c r="T25" i="3" l="1"/>
  <c r="S13" i="35" l="1"/>
  <c r="S11" i="35"/>
  <c r="C63" i="3"/>
  <c r="C62" i="3"/>
  <c r="B60" i="3"/>
  <c r="AA16" i="3"/>
  <c r="AA17" i="3"/>
  <c r="AA14" i="3"/>
  <c r="S18" i="35"/>
  <c r="C4" i="3"/>
  <c r="B30" i="10"/>
  <c r="B12" i="10" l="1"/>
  <c r="F13" i="10"/>
  <c r="B13" i="10"/>
  <c r="B9" i="10"/>
  <c r="B10" i="10" s="1"/>
  <c r="B59" i="3"/>
  <c r="C61" i="3"/>
  <c r="AA15" i="3"/>
  <c r="F12" i="10"/>
  <c r="F9" i="10"/>
  <c r="F10" i="10" s="1"/>
  <c r="I4" i="3"/>
  <c r="I5" i="3" s="1"/>
  <c r="AA13" i="3"/>
  <c r="F6" i="10"/>
  <c r="B6" i="10"/>
  <c r="A29" i="3"/>
  <c r="C14" i="35"/>
  <c r="W20" i="35"/>
  <c r="W21" i="35"/>
  <c r="C36" i="3"/>
  <c r="B11" i="10" l="1"/>
  <c r="F11" i="10"/>
  <c r="B22" i="10"/>
  <c r="B21" i="10"/>
  <c r="F21" i="10"/>
  <c r="F22" i="10"/>
  <c r="F24" i="10"/>
  <c r="I6" i="3"/>
  <c r="C33" i="32"/>
  <c r="C32" i="32"/>
  <c r="B7" i="40" l="1"/>
  <c r="M8" i="4" l="1"/>
  <c r="B8" i="15" s="1"/>
  <c r="B7" i="15"/>
  <c r="M19" i="4"/>
  <c r="M11" i="35"/>
  <c r="F30" i="10"/>
  <c r="C11" i="3"/>
  <c r="C13" i="3"/>
  <c r="C12" i="3"/>
  <c r="F25" i="37" l="1"/>
  <c r="B20" i="10"/>
  <c r="F20" i="10"/>
  <c r="C56" i="3"/>
  <c r="B3" i="10"/>
  <c r="AA23" i="3" l="1"/>
  <c r="AA9" i="3"/>
  <c r="AA8" i="3"/>
  <c r="C17" i="3" l="1"/>
  <c r="H26" i="35" l="1"/>
  <c r="H20" i="35"/>
  <c r="H19" i="35"/>
  <c r="H18" i="35"/>
  <c r="H17" i="35"/>
  <c r="AF13" i="35"/>
  <c r="AD13" i="35"/>
  <c r="H12" i="35"/>
  <c r="AF10" i="35"/>
  <c r="AD10" i="35"/>
  <c r="H11" i="35"/>
  <c r="H10" i="35"/>
  <c r="H9" i="35"/>
  <c r="AF7" i="35"/>
  <c r="AD7" i="35"/>
  <c r="H8" i="35"/>
  <c r="H7" i="35"/>
  <c r="C22" i="3"/>
  <c r="AD13" i="1"/>
  <c r="H12" i="1" s="1"/>
  <c r="AB13" i="1"/>
  <c r="H11" i="1" s="1"/>
  <c r="I11" i="1" s="1"/>
  <c r="AD10" i="1"/>
  <c r="H8" i="1" s="1"/>
  <c r="I8" i="1" s="1"/>
  <c r="AB10" i="1"/>
  <c r="H7" i="1" s="1"/>
  <c r="I7" i="1" s="1"/>
  <c r="AD7" i="1"/>
  <c r="AB7" i="1"/>
  <c r="H9" i="1" s="1"/>
  <c r="I9" i="1" s="1"/>
  <c r="C21" i="3"/>
  <c r="I10" i="1" l="1"/>
  <c r="H10" i="1"/>
  <c r="I12" i="1"/>
  <c r="H13" i="1"/>
  <c r="I13" i="1" s="1"/>
  <c r="C24" i="3"/>
  <c r="C23" i="3"/>
  <c r="H13" i="35"/>
  <c r="AA10" i="3" l="1"/>
  <c r="F23" i="10" s="1"/>
  <c r="B50" i="8" l="1"/>
  <c r="B49" i="8"/>
  <c r="C49" i="8" s="1"/>
  <c r="B55" i="8"/>
  <c r="B54" i="8"/>
  <c r="B58" i="8" l="1"/>
  <c r="B48" i="8"/>
  <c r="C48" i="8" s="1"/>
  <c r="C50" i="8"/>
  <c r="C51" i="8" l="1"/>
  <c r="B51" i="8"/>
  <c r="B57" i="8"/>
  <c r="G43" i="8"/>
  <c r="G42" i="8"/>
  <c r="G41" i="8"/>
  <c r="G40" i="8"/>
  <c r="B60" i="8" l="1"/>
  <c r="B62" i="8" s="1"/>
  <c r="B63" i="8" s="1"/>
  <c r="B64" i="8" l="1"/>
  <c r="G16" i="6" l="1"/>
  <c r="G15" i="6"/>
  <c r="G14" i="6"/>
  <c r="G13" i="6"/>
  <c r="G12" i="6"/>
  <c r="G11" i="6"/>
  <c r="G23" i="6"/>
  <c r="G22" i="6"/>
  <c r="G21" i="6"/>
  <c r="G4" i="6"/>
  <c r="G6" i="6" s="1"/>
  <c r="G26" i="6"/>
  <c r="G25" i="6"/>
  <c r="G24" i="6"/>
  <c r="G4" i="7"/>
  <c r="G6" i="7" s="1"/>
  <c r="A23" i="7"/>
  <c r="A22" i="7"/>
  <c r="G23" i="7"/>
  <c r="G22" i="7"/>
  <c r="G21" i="7"/>
  <c r="G11" i="7"/>
  <c r="G26" i="7"/>
  <c r="G25" i="7"/>
  <c r="G24" i="7"/>
  <c r="G16" i="7"/>
  <c r="G15" i="7"/>
  <c r="G14" i="7"/>
  <c r="G13" i="7"/>
  <c r="G12" i="7"/>
  <c r="D34" i="8"/>
  <c r="B6" i="14" l="1"/>
  <c r="B6" i="13"/>
  <c r="D35" i="8" l="1"/>
  <c r="I35" i="8"/>
  <c r="I34" i="8"/>
  <c r="G35" i="8"/>
  <c r="G34" i="8"/>
  <c r="N34" i="8"/>
  <c r="E32" i="8" l="1"/>
  <c r="E31" i="8"/>
  <c r="D32" i="8"/>
  <c r="D31" i="8"/>
  <c r="H22" i="4"/>
  <c r="H9" i="4"/>
  <c r="B10" i="40" l="1"/>
  <c r="B12" i="40" l="1"/>
  <c r="B23" i="40" s="1"/>
  <c r="D10" i="40"/>
  <c r="B9" i="15"/>
  <c r="A25" i="6"/>
  <c r="B13" i="15" l="1"/>
  <c r="D13" i="15" s="1"/>
  <c r="B12" i="15"/>
  <c r="B11" i="15"/>
  <c r="C25" i="6"/>
  <c r="C26" i="6"/>
  <c r="C27" i="6"/>
  <c r="C18" i="6"/>
  <c r="A17" i="6"/>
  <c r="C19" i="6"/>
  <c r="K12" i="6"/>
  <c r="C8" i="6"/>
  <c r="B11" i="14" s="1"/>
  <c r="K11" i="6"/>
  <c r="K10" i="6"/>
  <c r="K9" i="6"/>
  <c r="K8" i="6"/>
  <c r="K7" i="6"/>
  <c r="K6" i="6"/>
  <c r="B21" i="15" l="1"/>
  <c r="B22" i="15" s="1"/>
  <c r="B24" i="15" s="1"/>
  <c r="C17" i="6"/>
  <c r="B5" i="14" s="1"/>
  <c r="B7" i="14"/>
  <c r="B12" i="14"/>
  <c r="B14" i="14" s="1"/>
  <c r="B13" i="14"/>
  <c r="B15" i="14" s="1"/>
  <c r="B8" i="14" l="1"/>
  <c r="B9" i="14" s="1"/>
  <c r="B16" i="14"/>
  <c r="B17" i="14" s="1"/>
  <c r="B19" i="14" l="1"/>
  <c r="C17" i="7"/>
  <c r="C16" i="7"/>
  <c r="A15" i="7"/>
  <c r="C7" i="7"/>
  <c r="B11" i="13" s="1"/>
  <c r="B12" i="13" s="1"/>
  <c r="B14" i="13" s="1"/>
  <c r="B31" i="10" l="1"/>
  <c r="B33" i="10" s="1"/>
  <c r="B32" i="10"/>
  <c r="B34" i="10" s="1"/>
  <c r="B13" i="13"/>
  <c r="B15" i="13" s="1"/>
  <c r="B16" i="13" s="1"/>
  <c r="B17" i="13" s="1"/>
  <c r="C15" i="7"/>
  <c r="B5" i="13" s="1"/>
  <c r="B7" i="13" s="1"/>
  <c r="B8" i="13" l="1"/>
  <c r="B19" i="13" s="1"/>
  <c r="F31" i="10" l="1"/>
  <c r="F33" i="10" s="1"/>
  <c r="F32" i="10"/>
  <c r="F34" i="10" s="1"/>
  <c r="F35" i="10" l="1"/>
  <c r="F36" i="10" s="1"/>
  <c r="A45" i="3"/>
  <c r="C39" i="3" l="1"/>
  <c r="G11" i="11" l="1"/>
  <c r="G8" i="11"/>
  <c r="G5" i="11"/>
  <c r="E11" i="11"/>
  <c r="E8" i="11"/>
  <c r="E5" i="11"/>
  <c r="C29" i="3" l="1"/>
  <c r="C45" i="3"/>
  <c r="C37" i="3"/>
  <c r="C38" i="3" s="1"/>
  <c r="B35" i="10" l="1"/>
  <c r="B36" i="10" s="1"/>
  <c r="C44" i="3" l="1"/>
  <c r="C28" i="3"/>
  <c r="B23" i="10" s="1"/>
  <c r="F25" i="10" l="1"/>
  <c r="F26" i="10" s="1"/>
  <c r="F38" i="10" s="1"/>
  <c r="B24" i="10" l="1"/>
  <c r="B25" i="10" s="1"/>
  <c r="B26" i="10" s="1"/>
  <c r="B38" i="10" s="1"/>
</calcChain>
</file>

<file path=xl/comments1.xml><?xml version="1.0" encoding="utf-8"?>
<comments xmlns="http://schemas.openxmlformats.org/spreadsheetml/2006/main">
  <authors>
    <author>Lone Abildgaard</author>
  </authors>
  <commentList>
    <comment ref="A3" authorId="0">
      <text>
        <r>
          <rPr>
            <b/>
            <sz val="9"/>
            <color indexed="81"/>
            <rFont val="Tahoma"/>
            <family val="2"/>
          </rPr>
          <t>Lone Abildgaard:</t>
        </r>
        <r>
          <rPr>
            <sz val="9"/>
            <color indexed="81"/>
            <rFont val="Tahoma"/>
            <family val="2"/>
          </rPr>
          <t xml:space="preserve">
Hvor kommer tallene fra? Kilde: Generelt tal, kan evt ændres. </t>
        </r>
      </text>
    </comment>
    <comment ref="Y5" authorId="0">
      <text>
        <r>
          <rPr>
            <b/>
            <sz val="9"/>
            <color indexed="81"/>
            <rFont val="Tahoma"/>
            <family val="2"/>
          </rPr>
          <t>Lone Abildgaard:</t>
        </r>
        <r>
          <rPr>
            <sz val="9"/>
            <color indexed="81"/>
            <rFont val="Tahoma"/>
            <family val="2"/>
          </rPr>
          <t xml:space="preserve">
Afstand er det eneste der adskilles fra halmark</t>
        </r>
      </text>
    </comment>
    <comment ref="C6" authorId="0">
      <text>
        <r>
          <rPr>
            <b/>
            <sz val="9"/>
            <color indexed="81"/>
            <rFont val="Tahoma"/>
            <family val="2"/>
          </rPr>
          <t>Lone Abildgaard:</t>
        </r>
        <r>
          <rPr>
            <sz val="9"/>
            <color indexed="81"/>
            <rFont val="Tahoma"/>
            <family val="2"/>
          </rPr>
          <t xml:space="preserve">
Danmarks statistik</t>
        </r>
      </text>
    </comment>
    <comment ref="C11" authorId="0">
      <text>
        <r>
          <rPr>
            <b/>
            <sz val="9"/>
            <color indexed="81"/>
            <rFont val="Tahoma"/>
            <family val="2"/>
          </rPr>
          <t>Lone Abildgaard:</t>
        </r>
        <r>
          <rPr>
            <sz val="9"/>
            <color indexed="81"/>
            <rFont val="Tahoma"/>
            <family val="2"/>
          </rPr>
          <t xml:space="preserve">
Artikel i FiB</t>
        </r>
      </text>
    </comment>
    <comment ref="Y14" authorId="0">
      <text>
        <r>
          <rPr>
            <b/>
            <sz val="9"/>
            <color indexed="81"/>
            <rFont val="Tahoma"/>
            <family val="2"/>
          </rPr>
          <t>Lone Abildgaard:</t>
        </r>
        <r>
          <rPr>
            <sz val="9"/>
            <color indexed="81"/>
            <rFont val="Tahoma"/>
            <family val="2"/>
          </rPr>
          <t xml:space="preserve">
Stemmer det?</t>
        </r>
      </text>
    </comment>
    <comment ref="A35" authorId="0">
      <text>
        <r>
          <rPr>
            <b/>
            <sz val="9"/>
            <color indexed="81"/>
            <rFont val="Tahoma"/>
            <family val="2"/>
          </rPr>
          <t>Lone Abildgaard:</t>
        </r>
        <r>
          <rPr>
            <sz val="9"/>
            <color indexed="81"/>
            <rFont val="Tahoma"/>
            <family val="2"/>
          </rPr>
          <t xml:space="preserve">
Indgår kun i decentral brikettering. Regner med større afstand og større kapacitet, derfor regnes her og ikke under transport til lager</t>
        </r>
      </text>
    </comment>
    <comment ref="A51" authorId="0">
      <text>
        <r>
          <rPr>
            <b/>
            <sz val="9"/>
            <color indexed="81"/>
            <rFont val="Tahoma"/>
            <family val="2"/>
          </rPr>
          <t>Lone Abildgaard:</t>
        </r>
        <r>
          <rPr>
            <sz val="9"/>
            <color indexed="81"/>
            <rFont val="Tahoma"/>
            <family val="2"/>
          </rPr>
          <t xml:space="preserve">
Hvor kommer tallene fra? Kilde: Mogens Møller</t>
        </r>
      </text>
    </comment>
    <comment ref="A58" authorId="0">
      <text>
        <r>
          <rPr>
            <b/>
            <sz val="9"/>
            <color indexed="81"/>
            <rFont val="Tahoma"/>
            <family val="2"/>
          </rPr>
          <t>Lone Abildgaard:</t>
        </r>
        <r>
          <rPr>
            <sz val="9"/>
            <color indexed="81"/>
            <rFont val="Tahoma"/>
            <family val="2"/>
          </rPr>
          <t xml:space="preserve">
Kilde: Mogens Knudsen, Foulum. Har vurderet hvor mange oprivere f.eks. Der er nødvendig</t>
        </r>
      </text>
    </comment>
  </commentList>
</comments>
</file>

<file path=xl/comments10.xml><?xml version="1.0" encoding="utf-8"?>
<comments xmlns="http://schemas.openxmlformats.org/spreadsheetml/2006/main">
  <authors>
    <author>Lone Abildgaard</author>
  </authors>
  <commentList>
    <comment ref="A3" authorId="0">
      <text>
        <r>
          <rPr>
            <b/>
            <sz val="9"/>
            <color indexed="81"/>
            <rFont val="Tahoma"/>
            <family val="2"/>
          </rPr>
          <t>Lone Abildgaard:</t>
        </r>
        <r>
          <rPr>
            <sz val="9"/>
            <color indexed="81"/>
            <rFont val="Tahoma"/>
            <family val="2"/>
          </rPr>
          <t xml:space="preserve">
Fra Henrik Møller (TS, VS og Metanpotentiale)</t>
        </r>
      </text>
    </comment>
    <comment ref="C9" authorId="0">
      <text>
        <r>
          <rPr>
            <b/>
            <sz val="9"/>
            <color indexed="81"/>
            <rFont val="Tahoma"/>
            <family val="2"/>
          </rPr>
          <t>Lone Abildgaard:</t>
        </r>
        <r>
          <rPr>
            <sz val="9"/>
            <color indexed="81"/>
            <rFont val="Tahoma"/>
            <family val="2"/>
          </rPr>
          <t xml:space="preserve">
Hvad aftalen med anlægget lyder på</t>
        </r>
      </text>
    </comment>
    <comment ref="C10" authorId="0">
      <text>
        <r>
          <rPr>
            <b/>
            <sz val="9"/>
            <color indexed="81"/>
            <rFont val="Tahoma"/>
            <family val="2"/>
          </rPr>
          <t>Lone Abildgaard:</t>
        </r>
        <r>
          <rPr>
            <sz val="9"/>
            <color indexed="81"/>
            <rFont val="Tahoma"/>
            <family val="2"/>
          </rPr>
          <t xml:space="preserve">
Bedste bud</t>
        </r>
      </text>
    </comment>
    <comment ref="A17" authorId="0">
      <text>
        <r>
          <rPr>
            <b/>
            <sz val="9"/>
            <color indexed="81"/>
            <rFont val="Tahoma"/>
            <family val="2"/>
          </rPr>
          <t>Lone Abildgaard:</t>
        </r>
        <r>
          <rPr>
            <sz val="9"/>
            <color indexed="81"/>
            <rFont val="Tahoma"/>
            <family val="2"/>
          </rPr>
          <t xml:space="preserve">
Hvad er walking floor? Det er når gulvet slev tømmer sig
Priser fra Skinnerup MAskinstation</t>
        </r>
      </text>
    </comment>
  </commentList>
</comments>
</file>

<file path=xl/comments2.xml><?xml version="1.0" encoding="utf-8"?>
<comments xmlns="http://schemas.openxmlformats.org/spreadsheetml/2006/main">
  <authors>
    <author>Lone Abildgaard</author>
  </authors>
  <commentList>
    <comment ref="F4" authorId="0">
      <text>
        <r>
          <rPr>
            <b/>
            <sz val="9"/>
            <color indexed="81"/>
            <rFont val="Tahoma"/>
            <family val="2"/>
          </rPr>
          <t>Lone Abildgaard:</t>
        </r>
        <r>
          <rPr>
            <sz val="9"/>
            <color indexed="81"/>
            <rFont val="Tahoma"/>
            <family val="2"/>
          </rPr>
          <t xml:space="preserve">
Frakørselsvogn skal tilføjes: hydralikastempel skubber det af. Fliegel Lely: Krone</t>
        </r>
      </text>
    </comment>
    <comment ref="C7" authorId="0">
      <text>
        <r>
          <rPr>
            <b/>
            <sz val="9"/>
            <color indexed="81"/>
            <rFont val="Tahoma"/>
            <family val="2"/>
          </rPr>
          <t>Lone Abildgaard:</t>
        </r>
        <r>
          <rPr>
            <sz val="9"/>
            <color indexed="81"/>
            <rFont val="Tahoma"/>
            <family val="2"/>
          </rPr>
          <t xml:space="preserve">
Danmarks statistik 369 hKg/gns 10 år
</t>
        </r>
      </text>
    </comment>
    <comment ref="F14" authorId="0">
      <text>
        <r>
          <rPr>
            <b/>
            <sz val="9"/>
            <color indexed="81"/>
            <rFont val="Tahoma"/>
            <family val="2"/>
          </rPr>
          <t>Lone Abildgaard:</t>
        </r>
        <r>
          <rPr>
            <sz val="9"/>
            <color indexed="81"/>
            <rFont val="Tahoma"/>
            <family val="2"/>
          </rPr>
          <t xml:space="preserve">
Markstak bør også være mulighed. Biogasstakke evt uden sider. Bakke på betonplads. Manuel dækning skal også med</t>
        </r>
      </text>
    </comment>
    <comment ref="F18" authorId="0">
      <text>
        <r>
          <rPr>
            <b/>
            <sz val="9"/>
            <color indexed="81"/>
            <rFont val="Tahoma"/>
            <family val="2"/>
          </rPr>
          <t>Lone Abildgaard:</t>
        </r>
        <r>
          <rPr>
            <sz val="9"/>
            <color indexed="81"/>
            <rFont val="Tahoma"/>
            <family val="2"/>
          </rPr>
          <t xml:space="preserve">
Overslag da det gælder for en silo, der er fuldt udnyttet til majs. Silo nr 2 er billigere pga billigere overdækning</t>
        </r>
      </text>
    </comment>
    <comment ref="A26" authorId="0">
      <text>
        <r>
          <rPr>
            <b/>
            <sz val="9"/>
            <color indexed="81"/>
            <rFont val="Tahoma"/>
            <family val="2"/>
          </rPr>
          <t>Lone Abildgaard:</t>
        </r>
        <r>
          <rPr>
            <sz val="9"/>
            <color indexed="81"/>
            <rFont val="Tahoma"/>
            <family val="2"/>
          </rPr>
          <t xml:space="preserve">
Tog tallet fra roer, der er per ha i stedet for majs, der udregnes per ton gylle
</t>
        </r>
      </text>
    </comment>
  </commentList>
</comments>
</file>

<file path=xl/comments3.xml><?xml version="1.0" encoding="utf-8"?>
<comments xmlns="http://schemas.openxmlformats.org/spreadsheetml/2006/main">
  <authors>
    <author>Lone Abildgaard</author>
  </authors>
  <commentList>
    <comment ref="K5" authorId="0">
      <text>
        <r>
          <rPr>
            <b/>
            <sz val="9"/>
            <color indexed="81"/>
            <rFont val="Tahoma"/>
            <family val="2"/>
          </rPr>
          <t>Lone Abildgaard:</t>
        </r>
        <r>
          <rPr>
            <sz val="9"/>
            <color indexed="81"/>
            <rFont val="Tahoma"/>
            <family val="2"/>
          </rPr>
          <t xml:space="preserve">
Husk også roekule: Spørg landmanden Knud Erik</t>
        </r>
      </text>
    </comment>
    <comment ref="C7" authorId="0">
      <text>
        <r>
          <rPr>
            <b/>
            <sz val="9"/>
            <color indexed="81"/>
            <rFont val="Tahoma"/>
            <family val="2"/>
          </rPr>
          <t>Lone Abildgaard:</t>
        </r>
        <r>
          <rPr>
            <sz val="9"/>
            <color indexed="81"/>
            <rFont val="Tahoma"/>
            <family val="2"/>
          </rPr>
          <t xml:space="preserve">
Sort Emilia frlandsforsøg 2013</t>
        </r>
      </text>
    </comment>
    <comment ref="C9" authorId="0">
      <text>
        <r>
          <rPr>
            <b/>
            <sz val="9"/>
            <color indexed="81"/>
            <rFont val="Tahoma"/>
            <family val="2"/>
          </rPr>
          <t>Lone Abildgaard:</t>
        </r>
        <r>
          <rPr>
            <sz val="9"/>
            <color indexed="81"/>
            <rFont val="Tahoma"/>
            <family val="2"/>
          </rPr>
          <t xml:space="preserve">
Landsforsøg 2013, sort Emilia</t>
        </r>
      </text>
    </comment>
    <comment ref="F15" authorId="0">
      <text>
        <r>
          <rPr>
            <b/>
            <sz val="9"/>
            <color indexed="81"/>
            <rFont val="Tahoma"/>
            <family val="2"/>
          </rPr>
          <t>Lone Abildgaard:</t>
        </r>
        <r>
          <rPr>
            <sz val="9"/>
            <color indexed="81"/>
            <rFont val="Tahoma"/>
            <family val="2"/>
          </rPr>
          <t xml:space="preserve">
ropa hedder maskinen. Kan tage en ordentlig grabfuld og direkte over i lastbil</t>
        </r>
      </text>
    </comment>
    <comment ref="F21" authorId="0">
      <text>
        <r>
          <rPr>
            <b/>
            <sz val="9"/>
            <color indexed="81"/>
            <rFont val="Tahoma"/>
            <family val="2"/>
          </rPr>
          <t>Lone Abildgaard:</t>
        </r>
        <r>
          <rPr>
            <sz val="9"/>
            <color indexed="81"/>
            <rFont val="Tahoma"/>
            <family val="2"/>
          </rPr>
          <t xml:space="preserve">
Spørg lige sukkeroefabrikkerne, de vejer jo ind. </t>
        </r>
      </text>
    </comment>
    <comment ref="F26" authorId="0">
      <text>
        <r>
          <rPr>
            <b/>
            <sz val="9"/>
            <color indexed="81"/>
            <rFont val="Tahoma"/>
            <family val="2"/>
          </rPr>
          <t>Lone Abildgaard:</t>
        </r>
        <r>
          <rPr>
            <sz val="9"/>
            <color indexed="81"/>
            <rFont val="Tahoma"/>
            <family val="2"/>
          </rPr>
          <t xml:space="preserve">
Thyregod har tørrenser, men har aldrig svaret</t>
        </r>
      </text>
    </comment>
    <comment ref="A49" authorId="0">
      <text>
        <r>
          <rPr>
            <b/>
            <sz val="9"/>
            <color indexed="81"/>
            <rFont val="Tahoma"/>
            <family val="2"/>
          </rPr>
          <t>Lone Abildgaard:</t>
        </r>
        <r>
          <rPr>
            <sz val="9"/>
            <color indexed="81"/>
            <rFont val="Tahoma"/>
            <family val="2"/>
          </rPr>
          <t xml:space="preserve">
spørg Karen</t>
        </r>
      </text>
    </comment>
  </commentList>
</comments>
</file>

<file path=xl/comments4.xml><?xml version="1.0" encoding="utf-8"?>
<comments xmlns="http://schemas.openxmlformats.org/spreadsheetml/2006/main">
  <authors>
    <author>Lone Abildgaard</author>
  </authors>
  <commentList>
    <comment ref="A2" authorId="0">
      <text>
        <r>
          <rPr>
            <b/>
            <sz val="9"/>
            <color indexed="81"/>
            <rFont val="Tahoma"/>
            <family val="2"/>
          </rPr>
          <t>Lone Abildgaard:</t>
        </r>
        <r>
          <rPr>
            <sz val="9"/>
            <color indexed="81"/>
            <rFont val="Tahoma"/>
            <family val="2"/>
          </rPr>
          <t xml:space="preserve">
FARMTAL ONLINE 2014:
Majs til helsæd. De øverste tal viser mellemregninger, de markerede tal indgår i majsarket</t>
        </r>
      </text>
    </comment>
    <comment ref="V4" authorId="0">
      <text>
        <r>
          <rPr>
            <b/>
            <sz val="9"/>
            <color indexed="81"/>
            <rFont val="Tahoma"/>
            <family val="2"/>
          </rPr>
          <t>Lone Abildgaard:</t>
        </r>
        <r>
          <rPr>
            <sz val="9"/>
            <color indexed="81"/>
            <rFont val="Tahoma"/>
            <family val="2"/>
          </rPr>
          <t xml:space="preserve">
</t>
        </r>
      </text>
    </comment>
  </commentList>
</comments>
</file>

<file path=xl/comments5.xml><?xml version="1.0" encoding="utf-8"?>
<comments xmlns="http://schemas.openxmlformats.org/spreadsheetml/2006/main">
  <authors>
    <author>Lone Abildgaard</author>
  </authors>
  <commentList>
    <comment ref="A8" authorId="0">
      <text>
        <r>
          <rPr>
            <b/>
            <sz val="9"/>
            <color indexed="81"/>
            <rFont val="Tahoma"/>
            <family val="2"/>
          </rPr>
          <t>Lone Abildgaard:</t>
        </r>
        <r>
          <rPr>
            <sz val="9"/>
            <color indexed="81"/>
            <rFont val="Tahoma"/>
            <family val="2"/>
          </rPr>
          <t xml:space="preserve">
Beregnet i hele siloer</t>
        </r>
      </text>
    </comment>
  </commentList>
</comments>
</file>

<file path=xl/comments6.xml><?xml version="1.0" encoding="utf-8"?>
<comments xmlns="http://schemas.openxmlformats.org/spreadsheetml/2006/main">
  <authors>
    <author>Ida Kjærgaard</author>
    <author>Lone Abildgaard</author>
  </authors>
  <commentList>
    <comment ref="L5" authorId="0">
      <text>
        <r>
          <rPr>
            <b/>
            <sz val="9"/>
            <color indexed="81"/>
            <rFont val="Tahoma"/>
            <family val="2"/>
          </rPr>
          <t>Ida Kjærgaard:</t>
        </r>
        <r>
          <rPr>
            <sz val="9"/>
            <color indexed="81"/>
            <rFont val="Tahoma"/>
            <family val="2"/>
          </rPr>
          <t xml:space="preserve">
Tina Tind. Tidligere ansat i planteproduktion. Tina har regnet et gennemsnit af forskellige finsnitter størrelser</t>
        </r>
      </text>
    </comment>
    <comment ref="R5" authorId="1">
      <text>
        <r>
          <rPr>
            <b/>
            <sz val="9"/>
            <color indexed="81"/>
            <rFont val="Tahoma"/>
            <family val="2"/>
          </rPr>
          <t>Lone Abildgaard:</t>
        </r>
        <r>
          <rPr>
            <sz val="9"/>
            <color indexed="81"/>
            <rFont val="Tahoma"/>
            <family val="2"/>
          </rPr>
          <t xml:space="preserve">
Karens pris fra 2014. Billigste pris 220kr/m3. 3m højde på vej ud pga arbejdstilsyn. Nyeste tilbud 7800 m3 inkl forplads til 220 kr/m3. Se også Håndbog, driftsplanlægning</t>
        </r>
      </text>
    </comment>
    <comment ref="V5" authorId="0">
      <text>
        <r>
          <rPr>
            <b/>
            <sz val="9"/>
            <color indexed="81"/>
            <rFont val="Tahoma"/>
            <family val="2"/>
          </rPr>
          <t>Ida Kjærgaard:</t>
        </r>
        <r>
          <rPr>
            <sz val="9"/>
            <color indexed="81"/>
            <rFont val="Tahoma"/>
            <family val="2"/>
          </rPr>
          <t xml:space="preserve">
DRIFT</t>
        </r>
      </text>
    </comment>
    <comment ref="B6" authorId="0">
      <text>
        <r>
          <rPr>
            <b/>
            <sz val="9"/>
            <color indexed="81"/>
            <rFont val="Tahoma"/>
            <family val="2"/>
          </rPr>
          <t>Ida Kjærgaard:</t>
        </r>
        <r>
          <rPr>
            <sz val="9"/>
            <color indexed="81"/>
            <rFont val="Tahoma"/>
            <family val="2"/>
          </rPr>
          <t xml:space="preserve">
Brdr. Jacobsen: 600 kr/time
Bejstrup maskinstation: 650 kr/time</t>
        </r>
      </text>
    </comment>
    <comment ref="G6" authorId="0">
      <text>
        <r>
          <rPr>
            <b/>
            <sz val="9"/>
            <color indexed="81"/>
            <rFont val="Tahoma"/>
            <family val="2"/>
          </rPr>
          <t>Ida Kjærgaard:</t>
        </r>
        <r>
          <rPr>
            <sz val="9"/>
            <color indexed="81"/>
            <rFont val="Tahoma"/>
            <family val="2"/>
          </rPr>
          <t xml:space="preserve">
Skamstrup maskinstation: 625 kr/time
Brdr. Jacobsen: 605 kr/time
Bejstrup maskinstation: 575 kr/time</t>
        </r>
      </text>
    </comment>
    <comment ref="L6" authorId="0">
      <text>
        <r>
          <rPr>
            <b/>
            <sz val="9"/>
            <color indexed="81"/>
            <rFont val="Tahoma"/>
            <family val="2"/>
          </rPr>
          <t>Ida Kjærgaard:</t>
        </r>
        <r>
          <rPr>
            <sz val="9"/>
            <color indexed="81"/>
            <rFont val="Tahoma"/>
            <family val="2"/>
          </rPr>
          <t xml:space="preserve">
Tina Tind</t>
        </r>
      </text>
    </comment>
    <comment ref="U6" authorId="0">
      <text>
        <r>
          <rPr>
            <b/>
            <sz val="9"/>
            <color indexed="81"/>
            <rFont val="Tahoma"/>
            <family val="2"/>
          </rPr>
          <t>Ida Kjærgaard:</t>
        </r>
        <r>
          <rPr>
            <sz val="9"/>
            <color indexed="81"/>
            <rFont val="Tahoma"/>
            <family val="2"/>
          </rPr>
          <t xml:space="preserve">
Den ligger ml 20-30</t>
        </r>
      </text>
    </comment>
    <comment ref="G7" authorId="0">
      <text>
        <r>
          <rPr>
            <b/>
            <sz val="9"/>
            <color indexed="81"/>
            <rFont val="Tahoma"/>
            <family val="2"/>
          </rPr>
          <t>Ida Kjærgaard:</t>
        </r>
        <r>
          <rPr>
            <sz val="9"/>
            <color indexed="81"/>
            <rFont val="Tahoma"/>
            <family val="2"/>
          </rPr>
          <t xml:space="preserve">
DRIFT</t>
        </r>
      </text>
    </comment>
    <comment ref="L7" authorId="0">
      <text>
        <r>
          <rPr>
            <b/>
            <sz val="9"/>
            <color indexed="81"/>
            <rFont val="Tahoma"/>
            <family val="2"/>
          </rPr>
          <t>Ida Kjærgaard:</t>
        </r>
        <r>
          <rPr>
            <sz val="9"/>
            <color indexed="81"/>
            <rFont val="Tahoma"/>
            <family val="2"/>
          </rPr>
          <t xml:space="preserve">
Tina Tind</t>
        </r>
      </text>
    </comment>
    <comment ref="U7" authorId="0">
      <text>
        <r>
          <rPr>
            <b/>
            <sz val="9"/>
            <color indexed="81"/>
            <rFont val="Tahoma"/>
            <family val="2"/>
          </rPr>
          <t>Ida Kjærgaard:</t>
        </r>
        <r>
          <rPr>
            <sz val="9"/>
            <color indexed="81"/>
            <rFont val="Tahoma"/>
            <family val="2"/>
          </rPr>
          <t xml:space="preserve">
MEC har foretaget målinger på deres lastbiler og gennemsnitshastigheden var 51,5 km/time</t>
        </r>
      </text>
    </comment>
    <comment ref="B8" authorId="0">
      <text>
        <r>
          <rPr>
            <b/>
            <sz val="9"/>
            <color indexed="81"/>
            <rFont val="Tahoma"/>
            <family val="2"/>
          </rPr>
          <t>Ida Kjærgaard:</t>
        </r>
        <r>
          <rPr>
            <sz val="9"/>
            <color indexed="81"/>
            <rFont val="Tahoma"/>
            <family val="2"/>
          </rPr>
          <t xml:space="preserve">
Gæt</t>
        </r>
      </text>
    </comment>
    <comment ref="G8" authorId="0">
      <text>
        <r>
          <rPr>
            <b/>
            <sz val="9"/>
            <color indexed="81"/>
            <rFont val="Tahoma"/>
            <family val="2"/>
          </rPr>
          <t>Ida Kjærgaard:</t>
        </r>
        <r>
          <rPr>
            <sz val="9"/>
            <color indexed="81"/>
            <rFont val="Tahoma"/>
            <family val="2"/>
          </rPr>
          <t xml:space="preserve">
DRIFT</t>
        </r>
      </text>
    </comment>
    <comment ref="L8" authorId="0">
      <text>
        <r>
          <rPr>
            <b/>
            <sz val="9"/>
            <color indexed="81"/>
            <rFont val="Tahoma"/>
            <family val="2"/>
          </rPr>
          <t>Ida Kjærgaard:</t>
        </r>
        <r>
          <rPr>
            <sz val="9"/>
            <color indexed="81"/>
            <rFont val="Tahoma"/>
            <family val="2"/>
          </rPr>
          <t xml:space="preserve">
Tina Tind</t>
        </r>
      </text>
    </comment>
    <comment ref="U8" authorId="0">
      <text>
        <r>
          <rPr>
            <b/>
            <sz val="9"/>
            <color indexed="81"/>
            <rFont val="Tahoma"/>
            <family val="2"/>
          </rPr>
          <t>Ida Kjærgaard:</t>
        </r>
        <r>
          <rPr>
            <sz val="9"/>
            <color indexed="81"/>
            <rFont val="Tahoma"/>
            <family val="2"/>
          </rPr>
          <t xml:space="preserve">
Fået oplyst af Karen og er eksklusiv afgift</t>
        </r>
      </text>
    </comment>
    <comment ref="B9" authorId="0">
      <text>
        <r>
          <rPr>
            <b/>
            <sz val="9"/>
            <color indexed="81"/>
            <rFont val="Tahoma"/>
            <family val="2"/>
          </rPr>
          <t>Ida Kjærgaard:</t>
        </r>
        <r>
          <rPr>
            <sz val="9"/>
            <color indexed="81"/>
            <rFont val="Tahoma"/>
            <family val="2"/>
          </rPr>
          <t xml:space="preserve">
Skinnerup maskinstation: 575 kr/time</t>
        </r>
      </text>
    </comment>
    <comment ref="G9" authorId="0">
      <text>
        <r>
          <rPr>
            <b/>
            <sz val="9"/>
            <color indexed="81"/>
            <rFont val="Tahoma"/>
            <family val="2"/>
          </rPr>
          <t>Ida Kjærgaard:</t>
        </r>
        <r>
          <rPr>
            <sz val="9"/>
            <color indexed="81"/>
            <rFont val="Tahoma"/>
            <family val="2"/>
          </rPr>
          <t xml:space="preserve">
DRIFT</t>
        </r>
      </text>
    </comment>
    <comment ref="L9" authorId="0">
      <text>
        <r>
          <rPr>
            <b/>
            <sz val="9"/>
            <color indexed="81"/>
            <rFont val="Tahoma"/>
            <family val="2"/>
          </rPr>
          <t>Ida Kjærgaard:</t>
        </r>
        <r>
          <rPr>
            <sz val="9"/>
            <color indexed="81"/>
            <rFont val="Tahoma"/>
            <family val="2"/>
          </rPr>
          <t xml:space="preserve">
Tina Tind</t>
        </r>
      </text>
    </comment>
    <comment ref="B10" authorId="0">
      <text>
        <r>
          <rPr>
            <b/>
            <sz val="9"/>
            <color indexed="81"/>
            <rFont val="Tahoma"/>
            <family val="2"/>
          </rPr>
          <t>Ida Kjærgaard:</t>
        </r>
        <r>
          <rPr>
            <sz val="9"/>
            <color indexed="81"/>
            <rFont val="Tahoma"/>
            <family val="2"/>
          </rPr>
          <t xml:space="preserve">
Skinnerup maskinstation</t>
        </r>
      </text>
    </comment>
    <comment ref="G10" authorId="0">
      <text>
        <r>
          <rPr>
            <b/>
            <sz val="9"/>
            <color indexed="81"/>
            <rFont val="Tahoma"/>
            <family val="2"/>
          </rPr>
          <t>Ida Kjærgaard:</t>
        </r>
        <r>
          <rPr>
            <sz val="9"/>
            <color indexed="81"/>
            <rFont val="Tahoma"/>
            <family val="2"/>
          </rPr>
          <t xml:space="preserve">
DRIFT</t>
        </r>
      </text>
    </comment>
    <comment ref="L10" authorId="0">
      <text>
        <r>
          <rPr>
            <b/>
            <sz val="9"/>
            <color indexed="81"/>
            <rFont val="Tahoma"/>
            <family val="2"/>
          </rPr>
          <t>Ida Kjærgaard:</t>
        </r>
        <r>
          <rPr>
            <sz val="9"/>
            <color indexed="81"/>
            <rFont val="Tahoma"/>
            <family val="2"/>
          </rPr>
          <t xml:space="preserve">
Tina Tind: 1,05
Mogens Kjeldahl, DMOGE: 1-1,2
</t>
        </r>
      </text>
    </comment>
    <comment ref="B11" authorId="0">
      <text>
        <r>
          <rPr>
            <b/>
            <sz val="9"/>
            <color indexed="81"/>
            <rFont val="Tahoma"/>
            <family val="2"/>
          </rPr>
          <t>Ida Kjærgaard:</t>
        </r>
        <r>
          <rPr>
            <sz val="9"/>
            <color indexed="81"/>
            <rFont val="Tahoma"/>
            <family val="2"/>
          </rPr>
          <t xml:space="preserve">
Skinnerup maskinstation: 650 kr/time
Brdr. Jacobsen: 700 kr/time</t>
        </r>
      </text>
    </comment>
    <comment ref="G11" authorId="0">
      <text>
        <r>
          <rPr>
            <b/>
            <sz val="9"/>
            <color indexed="81"/>
            <rFont val="Tahoma"/>
            <family val="2"/>
          </rPr>
          <t>Ida Kjærgaard:</t>
        </r>
        <r>
          <rPr>
            <sz val="9"/>
            <color indexed="81"/>
            <rFont val="Tahoma"/>
            <family val="2"/>
          </rPr>
          <t xml:space="preserve">
DRIFT
</t>
        </r>
      </text>
    </comment>
    <comment ref="L11" authorId="0">
      <text>
        <r>
          <rPr>
            <b/>
            <sz val="9"/>
            <color indexed="81"/>
            <rFont val="Tahoma"/>
            <family val="2"/>
          </rPr>
          <t>Ida Kjærgaard:</t>
        </r>
        <r>
          <rPr>
            <sz val="9"/>
            <color indexed="81"/>
            <rFont val="Tahoma"/>
            <family val="2"/>
          </rPr>
          <t xml:space="preserve">
Erik Fløjgaard fra AU har selv fået oplyst en pris på 6-8 øre pr kg. Niels Bie tager 7 øre/kg. Vesthimmerland maskinstation har oplyst en pris på 40 kr/balle svarende til 0,07 kr/kg når ballevægten er 550 kg</t>
        </r>
      </text>
    </comment>
    <comment ref="B12" authorId="0">
      <text>
        <r>
          <rPr>
            <b/>
            <sz val="9"/>
            <color indexed="81"/>
            <rFont val="Tahoma"/>
            <family val="2"/>
          </rPr>
          <t>Ida Kjærgaard:</t>
        </r>
        <r>
          <rPr>
            <sz val="9"/>
            <color indexed="81"/>
            <rFont val="Tahoma"/>
            <family val="2"/>
          </rPr>
          <t xml:space="preserve">
Skinnerup maskinstation</t>
        </r>
      </text>
    </comment>
    <comment ref="G12" authorId="0">
      <text>
        <r>
          <rPr>
            <b/>
            <sz val="9"/>
            <color indexed="81"/>
            <rFont val="Tahoma"/>
            <family val="2"/>
          </rPr>
          <t>Ida Kjærgaard:</t>
        </r>
        <r>
          <rPr>
            <sz val="9"/>
            <color indexed="81"/>
            <rFont val="Tahoma"/>
            <family val="2"/>
          </rPr>
          <t xml:space="preserve">
DRIFT</t>
        </r>
      </text>
    </comment>
    <comment ref="L12" authorId="0">
      <text>
        <r>
          <rPr>
            <b/>
            <sz val="9"/>
            <color indexed="81"/>
            <rFont val="Tahoma"/>
            <family val="2"/>
          </rPr>
          <t>Ida Kjærgaard:</t>
        </r>
        <r>
          <rPr>
            <sz val="9"/>
            <color indexed="81"/>
            <rFont val="Tahoma"/>
            <family val="2"/>
          </rPr>
          <t xml:space="preserve">
Brdr. Jacobsen: 80 kr/balle
Bejstrup maskinstation: 75 kr/balle
Niemanns maskinstation: 75 kr/balle
Niels Bie maskinstation: 88 kr/balle
Vesthimmerlands maskinstation: 70 kr/balle</t>
        </r>
      </text>
    </comment>
    <comment ref="B13" authorId="0">
      <text>
        <r>
          <rPr>
            <b/>
            <sz val="9"/>
            <color indexed="81"/>
            <rFont val="Tahoma"/>
            <family val="2"/>
          </rPr>
          <t>Ida Kjærgaard:</t>
        </r>
        <r>
          <rPr>
            <sz val="9"/>
            <color indexed="81"/>
            <rFont val="Tahoma"/>
            <family val="2"/>
          </rPr>
          <t xml:space="preserve">
Skamstrup maskinstation: 625 kr/time
Bejstrup maskinstation: 625 kr/time</t>
        </r>
      </text>
    </comment>
    <comment ref="G13" authorId="0">
      <text>
        <r>
          <rPr>
            <b/>
            <sz val="9"/>
            <color indexed="81"/>
            <rFont val="Tahoma"/>
            <family val="2"/>
          </rPr>
          <t>Ida Kjærgaard:</t>
        </r>
        <r>
          <rPr>
            <sz val="9"/>
            <color indexed="81"/>
            <rFont val="Tahoma"/>
            <family val="2"/>
          </rPr>
          <t xml:space="preserve">
Læssekapaciteten til et udstyr må være lig aflæssekapaciteten fra et udstur, når det ikke foregår i marken men ballerne er samlet.</t>
        </r>
      </text>
    </comment>
    <comment ref="L13" authorId="0">
      <text>
        <r>
          <rPr>
            <b/>
            <sz val="9"/>
            <color indexed="81"/>
            <rFont val="Tahoma"/>
            <family val="2"/>
          </rPr>
          <t>Ida Kjærgaard:</t>
        </r>
        <r>
          <rPr>
            <sz val="9"/>
            <color indexed="81"/>
            <rFont val="Tahoma"/>
            <family val="2"/>
          </rPr>
          <t xml:space="preserve">
Skamstrup maskinstation: 68 kr/balle
Bejstrup maskinstation: 35 kr/balle
Brdr. Jacobsen: 45 kr/balle</t>
        </r>
      </text>
    </comment>
    <comment ref="B14" authorId="0">
      <text>
        <r>
          <rPr>
            <b/>
            <sz val="9"/>
            <color indexed="81"/>
            <rFont val="Tahoma"/>
            <family val="2"/>
          </rPr>
          <t>Ida Kjærgaard:</t>
        </r>
        <r>
          <rPr>
            <sz val="9"/>
            <color indexed="81"/>
            <rFont val="Tahoma"/>
            <family val="2"/>
          </rPr>
          <t xml:space="preserve">
skamstrup maskinstation</t>
        </r>
      </text>
    </comment>
    <comment ref="G14" authorId="0">
      <text>
        <r>
          <rPr>
            <b/>
            <sz val="9"/>
            <color indexed="81"/>
            <rFont val="Tahoma"/>
            <family val="2"/>
          </rPr>
          <t>Ida Kjærgaard:</t>
        </r>
        <r>
          <rPr>
            <sz val="9"/>
            <color indexed="81"/>
            <rFont val="Tahoma"/>
            <family val="2"/>
          </rPr>
          <t xml:space="preserve">
COWI rapport: 15-20 min at læsse 33 tons med frontlæsser. Det svarer til 20min/33ton=0,6 min/ton</t>
        </r>
      </text>
    </comment>
    <comment ref="L14" authorId="0">
      <text>
        <r>
          <rPr>
            <b/>
            <sz val="9"/>
            <color indexed="81"/>
            <rFont val="Tahoma"/>
            <family val="2"/>
          </rPr>
          <t>Ida Kjærgaard:</t>
        </r>
        <r>
          <rPr>
            <sz val="9"/>
            <color indexed="81"/>
            <rFont val="Tahoma"/>
            <family val="2"/>
          </rPr>
          <t xml:space="preserve">
Skamstrup maskinstation: 100 kr/balle
</t>
        </r>
      </text>
    </comment>
    <comment ref="Q14" authorId="0">
      <text>
        <r>
          <rPr>
            <b/>
            <sz val="9"/>
            <color indexed="81"/>
            <rFont val="Tahoma"/>
            <family val="2"/>
          </rPr>
          <t>Ida Kjærgaard:</t>
        </r>
        <r>
          <rPr>
            <sz val="9"/>
            <color indexed="81"/>
            <rFont val="Tahoma"/>
            <family val="2"/>
          </rPr>
          <t xml:space="preserve">
Fået oplyst af Karen og er eksklusiv afgift</t>
        </r>
      </text>
    </comment>
    <comment ref="B15" authorId="0">
      <text>
        <r>
          <rPr>
            <b/>
            <sz val="9"/>
            <color indexed="81"/>
            <rFont val="Tahoma"/>
            <family val="2"/>
          </rPr>
          <t>Ida Kjærgaard:</t>
        </r>
        <r>
          <rPr>
            <sz val="9"/>
            <color indexed="81"/>
            <rFont val="Tahoma"/>
            <family val="2"/>
          </rPr>
          <t xml:space="preserve">
Mogens Kjeldahl DMOGE: 650 kr/time
Bejstrup maskinstation: 675 kr/time</t>
        </r>
      </text>
    </comment>
    <comment ref="B16" authorId="0">
      <text>
        <r>
          <rPr>
            <b/>
            <sz val="9"/>
            <color indexed="81"/>
            <rFont val="Tahoma"/>
            <family val="2"/>
          </rPr>
          <t>Ida Kjærgaard:</t>
        </r>
        <r>
          <rPr>
            <sz val="9"/>
            <color indexed="81"/>
            <rFont val="Tahoma"/>
            <family val="2"/>
          </rPr>
          <t xml:space="preserve">
Skamstrup maskinstation</t>
        </r>
      </text>
    </comment>
    <comment ref="G16" authorId="0">
      <text>
        <r>
          <rPr>
            <b/>
            <sz val="9"/>
            <color indexed="81"/>
            <rFont val="Tahoma"/>
            <family val="2"/>
          </rPr>
          <t>Ida Kjærgaard:</t>
        </r>
        <r>
          <rPr>
            <sz val="9"/>
            <color indexed="81"/>
            <rFont val="Tahoma"/>
            <family val="2"/>
          </rPr>
          <t xml:space="preserve">
Brdr. Jacobsen: 700 kr/time
Bejstrup maskinstation: 675 kr/time
Skinnerup maskinstation: 525 kr/time</t>
        </r>
      </text>
    </comment>
    <comment ref="B17" authorId="0">
      <text>
        <r>
          <rPr>
            <b/>
            <sz val="9"/>
            <color indexed="81"/>
            <rFont val="Tahoma"/>
            <family val="2"/>
          </rPr>
          <t>Ida Kjærgaard:</t>
        </r>
        <r>
          <rPr>
            <sz val="9"/>
            <color indexed="81"/>
            <rFont val="Tahoma"/>
            <family val="2"/>
          </rPr>
          <t xml:space="preserve">
Gæt. Skal kontrolleres</t>
        </r>
      </text>
    </comment>
    <comment ref="G17" authorId="0">
      <text>
        <r>
          <rPr>
            <b/>
            <sz val="9"/>
            <color indexed="81"/>
            <rFont val="Tahoma"/>
            <family val="2"/>
          </rPr>
          <t>Ida Kjærgaard:</t>
        </r>
        <r>
          <rPr>
            <sz val="9"/>
            <color indexed="81"/>
            <rFont val="Tahoma"/>
            <family val="2"/>
          </rPr>
          <t xml:space="preserve">
Fra Henrik Mortensen: 24 min/læs</t>
        </r>
      </text>
    </comment>
    <comment ref="L17" authorId="0">
      <text>
        <r>
          <rPr>
            <b/>
            <sz val="9"/>
            <color indexed="81"/>
            <rFont val="Tahoma"/>
            <family val="2"/>
          </rPr>
          <t>Ida Kjærgaard:</t>
        </r>
        <r>
          <rPr>
            <sz val="9"/>
            <color indexed="81"/>
            <rFont val="Tahoma"/>
            <family val="2"/>
          </rPr>
          <t xml:space="preserve">
Set et sted at det var gennemsnitsvægten for en halm storballe</t>
        </r>
      </text>
    </comment>
    <comment ref="G18" authorId="0">
      <text>
        <r>
          <rPr>
            <b/>
            <sz val="9"/>
            <color indexed="81"/>
            <rFont val="Tahoma"/>
            <family val="2"/>
          </rPr>
          <t>Ida Kjærgaard:</t>
        </r>
        <r>
          <rPr>
            <sz val="9"/>
            <color indexed="81"/>
            <rFont val="Tahoma"/>
            <family val="2"/>
          </rPr>
          <t xml:space="preserve">
Fra Henrik Mortensen: 24 min/læs</t>
        </r>
      </text>
    </comment>
    <comment ref="L18" authorId="0">
      <text>
        <r>
          <rPr>
            <b/>
            <sz val="9"/>
            <color indexed="81"/>
            <rFont val="Tahoma"/>
            <family val="2"/>
          </rPr>
          <t>Ida Kjærgaard:</t>
        </r>
        <r>
          <rPr>
            <sz val="9"/>
            <color indexed="81"/>
            <rFont val="Tahoma"/>
            <family val="2"/>
          </rPr>
          <t xml:space="preserve">
Udregnet baseret på en ballevægt på 550 kg med målene 240x120x120 cm</t>
        </r>
      </text>
    </comment>
    <comment ref="G19" authorId="0">
      <text>
        <r>
          <rPr>
            <b/>
            <sz val="9"/>
            <color indexed="81"/>
            <rFont val="Tahoma"/>
            <family val="2"/>
          </rPr>
          <t>Ida Kjærgaard:</t>
        </r>
        <r>
          <rPr>
            <sz val="9"/>
            <color indexed="81"/>
            <rFont val="Tahoma"/>
            <family val="2"/>
          </rPr>
          <t xml:space="preserve">
Fra Henrik Mortensen: 24 min/læs</t>
        </r>
      </text>
    </comment>
    <comment ref="L19" authorId="0">
      <text>
        <r>
          <rPr>
            <b/>
            <sz val="9"/>
            <color indexed="81"/>
            <rFont val="Tahoma"/>
            <family val="2"/>
          </rPr>
          <t>Ida Kjærgaard:</t>
        </r>
        <r>
          <rPr>
            <sz val="9"/>
            <color indexed="81"/>
            <rFont val="Tahoma"/>
            <family val="2"/>
          </rPr>
          <t xml:space="preserve">
Tal fra et forsøg ved Nørreådalen</t>
        </r>
      </text>
    </comment>
    <comment ref="G20" authorId="0">
      <text>
        <r>
          <rPr>
            <b/>
            <sz val="9"/>
            <color indexed="81"/>
            <rFont val="Tahoma"/>
            <family val="2"/>
          </rPr>
          <t>Ida Kjærgaard:</t>
        </r>
        <r>
          <rPr>
            <sz val="9"/>
            <color indexed="81"/>
            <rFont val="Tahoma"/>
            <family val="2"/>
          </rPr>
          <t xml:space="preserve">
Fra Henrik Mortensen: 24 min/læs</t>
        </r>
      </text>
    </comment>
    <comment ref="L20" authorId="0">
      <text>
        <r>
          <rPr>
            <b/>
            <sz val="9"/>
            <color indexed="81"/>
            <rFont val="Tahoma"/>
            <family val="2"/>
          </rPr>
          <t>Ida Kjærgaard:</t>
        </r>
        <r>
          <rPr>
            <sz val="9"/>
            <color indexed="81"/>
            <rFont val="Tahoma"/>
            <family val="2"/>
          </rPr>
          <t xml:space="preserve">
Udregnet baseret på en runsballevægt på 280 kg og en diameter og højde på 120 cm. Tal fra et forsøg ved Nørreådalen.</t>
        </r>
      </text>
    </comment>
    <comment ref="B21" authorId="0">
      <text>
        <r>
          <rPr>
            <b/>
            <sz val="9"/>
            <color indexed="81"/>
            <rFont val="Tahoma"/>
            <family val="2"/>
          </rPr>
          <t>Ida Kjærgaard:</t>
        </r>
        <r>
          <rPr>
            <sz val="9"/>
            <color indexed="81"/>
            <rFont val="Tahoma"/>
            <family val="2"/>
          </rPr>
          <t xml:space="preserve">
DRIFT</t>
        </r>
      </text>
    </comment>
    <comment ref="G21" authorId="0">
      <text>
        <r>
          <rPr>
            <b/>
            <sz val="9"/>
            <color indexed="81"/>
            <rFont val="Tahoma"/>
            <family val="2"/>
          </rPr>
          <t>Ida Kjærgaard:</t>
        </r>
        <r>
          <rPr>
            <sz val="9"/>
            <color indexed="81"/>
            <rFont val="Tahoma"/>
            <family val="2"/>
          </rPr>
          <t xml:space="preserve">
Fra Henrik Mortensen: 10,8 min/læs med 24 bigballer.
Jeg har regnet ud at det må være 0,82 min/ton
</t>
        </r>
      </text>
    </comment>
    <comment ref="L21" authorId="0">
      <text>
        <r>
          <rPr>
            <b/>
            <sz val="9"/>
            <color indexed="81"/>
            <rFont val="Tahoma"/>
            <family val="2"/>
          </rPr>
          <t>Ida Kjærgaard:</t>
        </r>
        <r>
          <rPr>
            <sz val="9"/>
            <color indexed="81"/>
            <rFont val="Tahoma"/>
            <family val="2"/>
          </rPr>
          <t xml:space="preserve">
Skamstraup maskinstation: 600-700 kg/balle
Bejstrup maskinstation: 700-800 kg/balle</t>
        </r>
      </text>
    </comment>
    <comment ref="B22" authorId="0">
      <text>
        <r>
          <rPr>
            <b/>
            <sz val="9"/>
            <color indexed="81"/>
            <rFont val="Tahoma"/>
            <family val="2"/>
          </rPr>
          <t>Ida Kjærgaard:</t>
        </r>
        <r>
          <rPr>
            <sz val="9"/>
            <color indexed="81"/>
            <rFont val="Tahoma"/>
            <family val="2"/>
          </rPr>
          <t xml:space="preserve">
Den ligger ml 20-30</t>
        </r>
      </text>
    </comment>
    <comment ref="G22" authorId="0">
      <text>
        <r>
          <rPr>
            <b/>
            <sz val="9"/>
            <color indexed="81"/>
            <rFont val="Tahoma"/>
            <family val="2"/>
          </rPr>
          <t>Ida Kjærgaard:</t>
        </r>
        <r>
          <rPr>
            <sz val="9"/>
            <color indexed="81"/>
            <rFont val="Tahoma"/>
            <family val="2"/>
          </rPr>
          <t xml:space="preserve">
Fra Henrik Mortensen: 10,8 min/læs med 24 bigballer.
Jeg har regnet ud at det må være 0,82 min/ton</t>
        </r>
      </text>
    </comment>
    <comment ref="L22" authorId="0">
      <text>
        <r>
          <rPr>
            <b/>
            <sz val="9"/>
            <color indexed="81"/>
            <rFont val="Tahoma"/>
            <family val="2"/>
          </rPr>
          <t>Ida Kjærgaard:</t>
        </r>
        <r>
          <rPr>
            <sz val="9"/>
            <color indexed="81"/>
            <rFont val="Tahoma"/>
            <family val="2"/>
          </rPr>
          <t xml:space="preserve">
Antaget, da tør rundballe i samme str ca. har en densitet på 0,2 ton/m3 regnet ud fra en diameter på 120 cm og en højde på 120 cm og en ballevægt på 280 kr (disse tal er baseret på et forsøg lavet ved nørreådalen). Og græsensilage har en densitet på 0,6, så har vagt en tal ml. 0,2-0,6</t>
        </r>
      </text>
    </comment>
    <comment ref="U22" authorId="0">
      <text>
        <r>
          <rPr>
            <b/>
            <sz val="9"/>
            <color indexed="81"/>
            <rFont val="Tahoma"/>
            <family val="2"/>
          </rPr>
          <t>Ida Kjærgaard:</t>
        </r>
        <r>
          <rPr>
            <sz val="9"/>
            <color indexed="81"/>
            <rFont val="Tahoma"/>
            <family val="2"/>
          </rPr>
          <t xml:space="preserve">
Gæt</t>
        </r>
      </text>
    </comment>
    <comment ref="B23" authorId="0">
      <text>
        <r>
          <rPr>
            <b/>
            <sz val="9"/>
            <color indexed="81"/>
            <rFont val="Tahoma"/>
            <family val="2"/>
          </rPr>
          <t>Ida Kjærgaard:</t>
        </r>
        <r>
          <rPr>
            <sz val="9"/>
            <color indexed="81"/>
            <rFont val="Tahoma"/>
            <family val="2"/>
          </rPr>
          <t xml:space="preserve">
MEC har foretaget målinger på deres lastbiler og gennemsnitshastigheden var 51,5 km/time</t>
        </r>
      </text>
    </comment>
    <comment ref="L23" authorId="0">
      <text>
        <r>
          <rPr>
            <b/>
            <sz val="9"/>
            <color indexed="81"/>
            <rFont val="Tahoma"/>
            <family val="2"/>
          </rPr>
          <t>Ida Kjærgaard:</t>
        </r>
        <r>
          <rPr>
            <sz val="9"/>
            <color indexed="81"/>
            <rFont val="Tahoma"/>
            <family val="2"/>
          </rPr>
          <t xml:space="preserve">
Håndbog for driftsplanlægning side 201. Densiteten er for græsensilage</t>
        </r>
      </text>
    </comment>
    <comment ref="U23" authorId="0">
      <text>
        <r>
          <rPr>
            <b/>
            <sz val="9"/>
            <color indexed="81"/>
            <rFont val="Tahoma"/>
            <family val="2"/>
          </rPr>
          <t>Ida Kjærgaard:</t>
        </r>
        <r>
          <rPr>
            <sz val="9"/>
            <color indexed="81"/>
            <rFont val="Tahoma"/>
            <family val="2"/>
          </rPr>
          <t xml:space="preserve">
FiB nr 47, marts 2014</t>
        </r>
      </text>
    </comment>
    <comment ref="L24" authorId="0">
      <text>
        <r>
          <rPr>
            <b/>
            <sz val="9"/>
            <color indexed="81"/>
            <rFont val="Tahoma"/>
            <family val="2"/>
          </rPr>
          <t>Ida Kjærgaard:</t>
        </r>
        <r>
          <rPr>
            <sz val="9"/>
            <color indexed="81"/>
            <rFont val="Tahoma"/>
            <family val="2"/>
          </rPr>
          <t xml:space="preserve">
Cowi rapport.
Bulk densitet</t>
        </r>
      </text>
    </comment>
    <comment ref="U24" authorId="0">
      <text>
        <r>
          <rPr>
            <b/>
            <sz val="9"/>
            <color indexed="81"/>
            <rFont val="Tahoma"/>
            <family val="2"/>
          </rPr>
          <t>Ida Kjærgaard:</t>
        </r>
        <r>
          <rPr>
            <sz val="9"/>
            <color indexed="81"/>
            <rFont val="Tahoma"/>
            <family val="2"/>
          </rPr>
          <t xml:space="preserve">
Antaget det samme som briketteret. Mangler kilde fra kontinuerte reaktorer
</t>
        </r>
      </text>
    </comment>
    <comment ref="L25" authorId="0">
      <text>
        <r>
          <rPr>
            <b/>
            <sz val="9"/>
            <color indexed="81"/>
            <rFont val="Tahoma"/>
            <family val="2"/>
          </rPr>
          <t>Ida Kjærgaard:</t>
        </r>
        <r>
          <rPr>
            <sz val="9"/>
            <color indexed="81"/>
            <rFont val="Tahoma"/>
            <family val="2"/>
          </rPr>
          <t xml:space="preserve">
Håndbog for driftsplanlægning side 201. Densiteten er for græsensilage</t>
        </r>
      </text>
    </comment>
    <comment ref="U25"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G26" authorId="0">
      <text>
        <r>
          <rPr>
            <b/>
            <sz val="9"/>
            <color indexed="81"/>
            <rFont val="Tahoma"/>
            <family val="2"/>
          </rPr>
          <t>Ida Kjærgaard:</t>
        </r>
        <r>
          <rPr>
            <sz val="9"/>
            <color indexed="81"/>
            <rFont val="Tahoma"/>
            <family val="2"/>
          </rPr>
          <t xml:space="preserve">
Eskilstrup maskinstation. </t>
        </r>
      </text>
    </comment>
    <comment ref="L26" authorId="0">
      <text>
        <r>
          <rPr>
            <b/>
            <sz val="9"/>
            <color indexed="81"/>
            <rFont val="Tahoma"/>
            <family val="2"/>
          </rPr>
          <t>Ida Kjærgaard:</t>
        </r>
        <r>
          <rPr>
            <sz val="9"/>
            <color indexed="81"/>
            <rFont val="Tahoma"/>
            <family val="2"/>
          </rPr>
          <t xml:space="preserve">
Håndbog til driftsplanlægning
side. 201</t>
        </r>
      </text>
    </comment>
    <comment ref="U26"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G27" authorId="0">
      <text>
        <r>
          <rPr>
            <b/>
            <sz val="9"/>
            <color indexed="81"/>
            <rFont val="Tahoma"/>
            <family val="2"/>
          </rPr>
          <t>Ida Kjærgaard:</t>
        </r>
        <r>
          <rPr>
            <sz val="9"/>
            <color indexed="81"/>
            <rFont val="Tahoma"/>
            <family val="2"/>
          </rPr>
          <t xml:space="preserve">
Det tager ca. 5-6 min at læsse til en lastbil, der har kapacitet til 30 tons. Siger Eskild maskinstation</t>
        </r>
      </text>
    </comment>
    <comment ref="L27" authorId="0">
      <text>
        <r>
          <rPr>
            <b/>
            <sz val="9"/>
            <color indexed="81"/>
            <rFont val="Tahoma"/>
            <family val="2"/>
          </rPr>
          <t>Ida Kjærgaard:</t>
        </r>
        <r>
          <rPr>
            <sz val="9"/>
            <color indexed="81"/>
            <rFont val="Tahoma"/>
            <family val="2"/>
          </rPr>
          <t xml:space="preserve">
Håndbog til driftsplanlægning side 201
Svinger fra 1,1-1,3</t>
        </r>
      </text>
    </comment>
    <comment ref="U27" authorId="0">
      <text>
        <r>
          <rPr>
            <b/>
            <sz val="9"/>
            <color indexed="81"/>
            <rFont val="Tahoma"/>
            <family val="2"/>
          </rPr>
          <t>Ida Kjærgaard:</t>
        </r>
        <r>
          <rPr>
            <sz val="9"/>
            <color indexed="81"/>
            <rFont val="Tahoma"/>
            <family val="2"/>
          </rPr>
          <t xml:space="preserve">
Kommende artikel skrevet af Jin Mi Triolo: Optimal Biomass Input and Storage to a Biogas Plant for Flexible Adjustment to Demand – Use of Beet Root Biomass. I introen står der at det varierer ml. 324-450 m3 CH4/tonVS</t>
        </r>
      </text>
    </comment>
    <comment ref="L28" authorId="1">
      <text>
        <r>
          <rPr>
            <b/>
            <sz val="9"/>
            <color indexed="81"/>
            <rFont val="Tahoma"/>
            <family val="2"/>
          </rPr>
          <t>Lone Abildgaard:</t>
        </r>
        <r>
          <rPr>
            <sz val="9"/>
            <color indexed="81"/>
            <rFont val="Tahoma"/>
            <family val="2"/>
          </rPr>
          <t xml:space="preserve">
Nærmeste oplysning: Landbrugsinfo, kernemajs 35% vand, massefylde 650 kg/m3</t>
        </r>
      </text>
    </comment>
    <comment ref="U28" authorId="0">
      <text>
        <r>
          <rPr>
            <b/>
            <sz val="9"/>
            <color indexed="81"/>
            <rFont val="Tahoma"/>
            <family val="2"/>
          </rPr>
          <t>Ida Kjærgaard:</t>
        </r>
        <r>
          <rPr>
            <sz val="9"/>
            <color indexed="81"/>
            <rFont val="Tahoma"/>
            <family val="2"/>
          </rPr>
          <t xml:space="preserve">
FiB nr. 47, marts 2014
</t>
        </r>
      </text>
    </comment>
    <comment ref="G29" authorId="0">
      <text>
        <r>
          <rPr>
            <b/>
            <sz val="9"/>
            <color indexed="81"/>
            <rFont val="Tahoma"/>
            <family val="2"/>
          </rPr>
          <t>Ida Kjærgaard:</t>
        </r>
        <r>
          <rPr>
            <sz val="9"/>
            <color indexed="81"/>
            <rFont val="Tahoma"/>
            <family val="2"/>
          </rPr>
          <t xml:space="preserve">
Brdr. Jacobsen: 605 kr/time
Bejstrup maskinstation: 745 kr/time</t>
        </r>
      </text>
    </comment>
    <comment ref="L29" authorId="1">
      <text>
        <r>
          <rPr>
            <b/>
            <sz val="9"/>
            <color indexed="81"/>
            <rFont val="Tahoma"/>
            <family val="2"/>
          </rPr>
          <t>Lone Abildgaard:</t>
        </r>
        <r>
          <rPr>
            <sz val="9"/>
            <color indexed="81"/>
            <rFont val="Tahoma"/>
            <family val="2"/>
          </rPr>
          <t xml:space="preserve">
Håndbog for driftsplanlægning 2013, s. 201</t>
        </r>
      </text>
    </comment>
    <comment ref="U29"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G30" authorId="0">
      <text>
        <r>
          <rPr>
            <b/>
            <sz val="9"/>
            <color indexed="81"/>
            <rFont val="Tahoma"/>
            <family val="2"/>
          </rPr>
          <t>Ida Kjærgaard:</t>
        </r>
        <r>
          <rPr>
            <sz val="9"/>
            <color indexed="81"/>
            <rFont val="Tahoma"/>
            <family val="2"/>
          </rPr>
          <t xml:space="preserve">
anslået 18 min pr. 32 ton = 0,56 min ton</t>
        </r>
      </text>
    </comment>
    <comment ref="L30" authorId="1">
      <text>
        <r>
          <rPr>
            <b/>
            <sz val="9"/>
            <color indexed="81"/>
            <rFont val="Tahoma"/>
            <family val="2"/>
          </rPr>
          <t>Lone Abildgaard:</t>
        </r>
        <r>
          <rPr>
            <sz val="9"/>
            <color indexed="81"/>
            <rFont val="Tahoma"/>
            <family val="2"/>
          </rPr>
          <t xml:space="preserve">
GNS over 81 siloer i amerikansk undersøgelse. Vådvægt. Se i mappen under majs</t>
        </r>
      </text>
    </comment>
    <comment ref="U30"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G31" authorId="0">
      <text>
        <r>
          <rPr>
            <b/>
            <sz val="9"/>
            <color indexed="81"/>
            <rFont val="Tahoma"/>
            <family val="2"/>
          </rPr>
          <t>Ida Kjærgaard:</t>
        </r>
        <r>
          <rPr>
            <sz val="9"/>
            <color indexed="81"/>
            <rFont val="Tahoma"/>
            <family val="2"/>
          </rPr>
          <t xml:space="preserve">
Fra Henrik Mortensen</t>
        </r>
      </text>
    </comment>
    <comment ref="U31" authorId="0">
      <text>
        <r>
          <rPr>
            <b/>
            <sz val="9"/>
            <color indexed="81"/>
            <rFont val="Tahoma"/>
            <family val="2"/>
          </rPr>
          <t>Ida Kjærgaard:</t>
        </r>
        <r>
          <rPr>
            <sz val="9"/>
            <color indexed="81"/>
            <rFont val="Tahoma"/>
            <family val="2"/>
          </rPr>
          <t xml:space="preserve">
Nordic Council of Ministers: Manure and Energy crop for biogas production</t>
        </r>
      </text>
    </comment>
    <comment ref="V31" authorId="1">
      <text>
        <r>
          <rPr>
            <b/>
            <sz val="9"/>
            <color indexed="81"/>
            <rFont val="Tahoma"/>
            <family val="2"/>
          </rPr>
          <t>Lone Abildgaard:</t>
        </r>
        <r>
          <rPr>
            <sz val="9"/>
            <color indexed="81"/>
            <rFont val="Tahoma"/>
            <family val="2"/>
          </rPr>
          <t xml:space="preserve">
Søren Ugilt. Gns af 5 sorter. Realiseret i biogasanlæg</t>
        </r>
      </text>
    </comment>
    <comment ref="W31" authorId="1">
      <text>
        <r>
          <rPr>
            <b/>
            <sz val="9"/>
            <color indexed="81"/>
            <rFont val="Tahoma"/>
            <family val="2"/>
          </rPr>
          <t>Lone Abildgaard:</t>
        </r>
        <r>
          <rPr>
            <sz val="9"/>
            <color indexed="81"/>
            <rFont val="Tahoma"/>
            <family val="2"/>
          </rPr>
          <t xml:space="preserve">
Nordic council</t>
        </r>
      </text>
    </comment>
    <comment ref="G32" authorId="0">
      <text>
        <r>
          <rPr>
            <b/>
            <sz val="9"/>
            <color indexed="81"/>
            <rFont val="Tahoma"/>
            <family val="2"/>
          </rPr>
          <t>Ida Kjærgaard:</t>
        </r>
        <r>
          <rPr>
            <sz val="9"/>
            <color indexed="81"/>
            <rFont val="Tahoma"/>
            <family val="2"/>
          </rPr>
          <t xml:space="preserve">
Fra Henrik Mortensen</t>
        </r>
      </text>
    </comment>
    <comment ref="L32" authorId="0">
      <text>
        <r>
          <rPr>
            <b/>
            <sz val="9"/>
            <color indexed="81"/>
            <rFont val="Tahoma"/>
            <family val="2"/>
          </rPr>
          <t>Ida Kjærgaard:</t>
        </r>
        <r>
          <rPr>
            <sz val="9"/>
            <color indexed="81"/>
            <rFont val="Tahoma"/>
            <family val="2"/>
          </rPr>
          <t xml:space="preserve">
Jens Peter Lunden udlejer sin elephant beet washer</t>
        </r>
      </text>
    </comment>
    <comment ref="U32" authorId="1">
      <text>
        <r>
          <rPr>
            <b/>
            <sz val="9"/>
            <color indexed="81"/>
            <rFont val="Tahoma"/>
            <family val="2"/>
          </rPr>
          <t>Lone Abildgaard:</t>
        </r>
        <r>
          <rPr>
            <sz val="9"/>
            <color indexed="81"/>
            <rFont val="Tahoma"/>
            <family val="2"/>
          </rPr>
          <t xml:space="preserve">
Gns af flere kilder, se dokumentet om rapshalm til bioenergi på Ydrev</t>
        </r>
      </text>
    </comment>
    <comment ref="L33" authorId="0">
      <text>
        <r>
          <rPr>
            <b/>
            <sz val="9"/>
            <color indexed="81"/>
            <rFont val="Tahoma"/>
            <family val="2"/>
          </rPr>
          <t>Ida Kjærgaard:</t>
        </r>
        <r>
          <rPr>
            <sz val="9"/>
            <color indexed="81"/>
            <rFont val="Tahoma"/>
            <family val="2"/>
          </rPr>
          <t xml:space="preserve">
Jens Peter Lunden</t>
        </r>
      </text>
    </comment>
    <comment ref="L34" authorId="0">
      <text>
        <r>
          <rPr>
            <b/>
            <sz val="9"/>
            <color indexed="81"/>
            <rFont val="Tahoma"/>
            <family val="2"/>
          </rPr>
          <t>Ida Kjærgaard:</t>
        </r>
        <r>
          <rPr>
            <sz val="9"/>
            <color indexed="81"/>
            <rFont val="Tahoma"/>
            <family val="2"/>
          </rPr>
          <t xml:space="preserve">
Jens Peter Lunden</t>
        </r>
      </text>
    </comment>
    <comment ref="L35" authorId="0">
      <text>
        <r>
          <rPr>
            <b/>
            <sz val="9"/>
            <color indexed="81"/>
            <rFont val="Tahoma"/>
            <family val="2"/>
          </rPr>
          <t>Ida Kjærgaard:</t>
        </r>
        <r>
          <rPr>
            <sz val="9"/>
            <color indexed="81"/>
            <rFont val="Tahoma"/>
            <family val="2"/>
          </rPr>
          <t xml:space="preserve">
Elo west
Tal  fra en powerpoint han sendte</t>
        </r>
      </text>
    </comment>
    <comment ref="L36" authorId="0">
      <text>
        <r>
          <rPr>
            <b/>
            <sz val="9"/>
            <color indexed="81"/>
            <rFont val="Tahoma"/>
            <family val="2"/>
          </rPr>
          <t>Ida Kjærgaard:</t>
        </r>
        <r>
          <rPr>
            <sz val="9"/>
            <color indexed="81"/>
            <rFont val="Tahoma"/>
            <family val="2"/>
          </rPr>
          <t xml:space="preserve">
Powerpoint fra Elo West</t>
        </r>
      </text>
    </comment>
    <comment ref="L37" authorId="0">
      <text>
        <r>
          <rPr>
            <b/>
            <sz val="9"/>
            <color indexed="81"/>
            <rFont val="Tahoma"/>
            <family val="2"/>
          </rPr>
          <t>Ida Kjærgaard:</t>
        </r>
        <r>
          <rPr>
            <sz val="9"/>
            <color indexed="81"/>
            <rFont val="Tahoma"/>
            <family val="2"/>
          </rPr>
          <t xml:space="preserve">
Powerpoint fra Elo West</t>
        </r>
      </text>
    </comment>
  </commentList>
</comments>
</file>

<file path=xl/comments7.xml><?xml version="1.0" encoding="utf-8"?>
<comments xmlns="http://schemas.openxmlformats.org/spreadsheetml/2006/main">
  <authors>
    <author>Ida Kjærgaard</author>
    <author>Lone Abildgaard</author>
  </authors>
  <commentList>
    <comment ref="L5" authorId="0">
      <text>
        <r>
          <rPr>
            <b/>
            <sz val="9"/>
            <color indexed="81"/>
            <rFont val="Tahoma"/>
            <family val="2"/>
          </rPr>
          <t>Ida Kjærgaard:</t>
        </r>
        <r>
          <rPr>
            <sz val="9"/>
            <color indexed="81"/>
            <rFont val="Tahoma"/>
            <family val="2"/>
          </rPr>
          <t xml:space="preserve">
Tina Tind. Tidligere ansat i planteproduktion. Tina har regnet et gennemsnit af forskellige finsnitter størrelser</t>
        </r>
      </text>
    </comment>
    <comment ref="B6" authorId="0">
      <text>
        <r>
          <rPr>
            <b/>
            <sz val="9"/>
            <color indexed="81"/>
            <rFont val="Tahoma"/>
            <family val="2"/>
          </rPr>
          <t>Ida Kjærgaard:</t>
        </r>
        <r>
          <rPr>
            <sz val="9"/>
            <color indexed="81"/>
            <rFont val="Tahoma"/>
            <family val="2"/>
          </rPr>
          <t xml:space="preserve">
Brdr. Jacobsen: 550 kr/time
Bejstrup maskinstation: 525 kr/time
Skamstrup maskinstation: 650 kr/time, men det er inkl traktor med frontlæsser</t>
        </r>
      </text>
    </comment>
    <comment ref="G6" authorId="0">
      <text>
        <r>
          <rPr>
            <b/>
            <sz val="9"/>
            <color indexed="81"/>
            <rFont val="Tahoma"/>
            <family val="2"/>
          </rPr>
          <t>Ida Kjærgaard:</t>
        </r>
        <r>
          <rPr>
            <sz val="9"/>
            <color indexed="81"/>
            <rFont val="Tahoma"/>
            <family val="2"/>
          </rPr>
          <t xml:space="preserve">
Skamstrup maskinstation: 625 kr/time
Brdr. Jacobsen: 605 kr/time
Bejstrup maskinstation: 575 kr/time</t>
        </r>
      </text>
    </comment>
    <comment ref="L6" authorId="0">
      <text>
        <r>
          <rPr>
            <b/>
            <sz val="9"/>
            <color indexed="81"/>
            <rFont val="Tahoma"/>
            <family val="2"/>
          </rPr>
          <t>Ida Kjærgaard:</t>
        </r>
        <r>
          <rPr>
            <sz val="9"/>
            <color indexed="81"/>
            <rFont val="Tahoma"/>
            <family val="2"/>
          </rPr>
          <t xml:space="preserve">
Tina Tind</t>
        </r>
      </text>
    </comment>
    <comment ref="G7" authorId="0">
      <text>
        <r>
          <rPr>
            <b/>
            <sz val="9"/>
            <color indexed="81"/>
            <rFont val="Tahoma"/>
            <family val="2"/>
          </rPr>
          <t>Ida Kjærgaard:</t>
        </r>
        <r>
          <rPr>
            <sz val="9"/>
            <color indexed="81"/>
            <rFont val="Tahoma"/>
            <family val="2"/>
          </rPr>
          <t xml:space="preserve">
DRIFT</t>
        </r>
      </text>
    </comment>
    <comment ref="L7" authorId="0">
      <text>
        <r>
          <rPr>
            <b/>
            <sz val="9"/>
            <color indexed="81"/>
            <rFont val="Tahoma"/>
            <family val="2"/>
          </rPr>
          <t>Ida Kjærgaard:</t>
        </r>
        <r>
          <rPr>
            <sz val="9"/>
            <color indexed="81"/>
            <rFont val="Tahoma"/>
            <family val="2"/>
          </rPr>
          <t xml:space="preserve">
Tina Tind</t>
        </r>
      </text>
    </comment>
    <comment ref="B8" authorId="0">
      <text>
        <r>
          <rPr>
            <b/>
            <sz val="9"/>
            <color indexed="81"/>
            <rFont val="Tahoma"/>
            <family val="2"/>
          </rPr>
          <t>Ida Kjærgaard:</t>
        </r>
        <r>
          <rPr>
            <sz val="9"/>
            <color indexed="81"/>
            <rFont val="Tahoma"/>
            <family val="2"/>
          </rPr>
          <t xml:space="preserve">
Det har jeg selv vurderet. 2 rækker gange 6 rundballer nederst og 2 rækker gange 5 rundballer oven på</t>
        </r>
      </text>
    </comment>
    <comment ref="G8" authorId="0">
      <text>
        <r>
          <rPr>
            <b/>
            <sz val="9"/>
            <color indexed="81"/>
            <rFont val="Tahoma"/>
            <family val="2"/>
          </rPr>
          <t>Ida Kjærgaard:</t>
        </r>
        <r>
          <rPr>
            <sz val="9"/>
            <color indexed="81"/>
            <rFont val="Tahoma"/>
            <family val="2"/>
          </rPr>
          <t xml:space="preserve">
DRIFT</t>
        </r>
      </text>
    </comment>
    <comment ref="L8" authorId="0">
      <text>
        <r>
          <rPr>
            <b/>
            <sz val="9"/>
            <color indexed="81"/>
            <rFont val="Tahoma"/>
            <family val="2"/>
          </rPr>
          <t>Ida Kjærgaard:</t>
        </r>
        <r>
          <rPr>
            <sz val="9"/>
            <color indexed="81"/>
            <rFont val="Tahoma"/>
            <family val="2"/>
          </rPr>
          <t xml:space="preserve">
Tina Tind</t>
        </r>
      </text>
    </comment>
    <comment ref="B9" authorId="0">
      <text>
        <r>
          <rPr>
            <b/>
            <sz val="9"/>
            <color indexed="81"/>
            <rFont val="Tahoma"/>
            <family val="2"/>
          </rPr>
          <t>Ida Kjærgaard:</t>
        </r>
        <r>
          <rPr>
            <sz val="9"/>
            <color indexed="81"/>
            <rFont val="Tahoma"/>
            <family val="2"/>
          </rPr>
          <t xml:space="preserve">
Kun 12 baller på lavbundsareal ved høst af enggræs. Ikke for tungt</t>
        </r>
      </text>
    </comment>
    <comment ref="G9" authorId="0">
      <text>
        <r>
          <rPr>
            <b/>
            <sz val="9"/>
            <color indexed="81"/>
            <rFont val="Tahoma"/>
            <family val="2"/>
          </rPr>
          <t>Ida Kjærgaard:</t>
        </r>
        <r>
          <rPr>
            <sz val="9"/>
            <color indexed="81"/>
            <rFont val="Tahoma"/>
            <family val="2"/>
          </rPr>
          <t xml:space="preserve">
DRIFT</t>
        </r>
      </text>
    </comment>
    <comment ref="L9" authorId="0">
      <text>
        <r>
          <rPr>
            <b/>
            <sz val="9"/>
            <color indexed="81"/>
            <rFont val="Tahoma"/>
            <family val="2"/>
          </rPr>
          <t>Ida Kjærgaard:</t>
        </r>
        <r>
          <rPr>
            <sz val="9"/>
            <color indexed="81"/>
            <rFont val="Tahoma"/>
            <family val="2"/>
          </rPr>
          <t xml:space="preserve">
Erik Fløjgaard fra AU har selv fået oplyst en pris på 6-8 øre pr kg. Niels Bie tager 7 øre/kg. Vesthimmerland maskinstation har oplyst en pris på 40 kr/balle svarende til 0,07 kr/kg når ballevægten er 550 kg</t>
        </r>
      </text>
    </comment>
    <comment ref="G10" authorId="0">
      <text>
        <r>
          <rPr>
            <b/>
            <sz val="9"/>
            <color indexed="81"/>
            <rFont val="Tahoma"/>
            <family val="2"/>
          </rPr>
          <t>Ida Kjærgaard:</t>
        </r>
        <r>
          <rPr>
            <sz val="9"/>
            <color indexed="81"/>
            <rFont val="Tahoma"/>
            <family val="2"/>
          </rPr>
          <t xml:space="preserve">
DRIFT</t>
        </r>
      </text>
    </comment>
    <comment ref="L10" authorId="0">
      <text>
        <r>
          <rPr>
            <b/>
            <sz val="9"/>
            <color indexed="81"/>
            <rFont val="Tahoma"/>
            <family val="2"/>
          </rPr>
          <t>Ida Kjærgaard:</t>
        </r>
        <r>
          <rPr>
            <sz val="9"/>
            <color indexed="81"/>
            <rFont val="Tahoma"/>
            <family val="2"/>
          </rPr>
          <t xml:space="preserve">
Brdr. Jacobsen: 80 kr/balle
Bejstrup maskinstation: 75 kr/balle
Niemanns maskinstation: 75 kr/balle
Niels Bie maskinstation: 88 kr/balle
Vesthimmerlands maskinstation: 70 kr/balle</t>
        </r>
      </text>
    </comment>
    <comment ref="G11" authorId="0">
      <text>
        <r>
          <rPr>
            <b/>
            <sz val="9"/>
            <color indexed="81"/>
            <rFont val="Tahoma"/>
            <family val="2"/>
          </rPr>
          <t>Ida Kjærgaard:</t>
        </r>
        <r>
          <rPr>
            <sz val="9"/>
            <color indexed="81"/>
            <rFont val="Tahoma"/>
            <family val="2"/>
          </rPr>
          <t xml:space="preserve">
DRIFT
</t>
        </r>
      </text>
    </comment>
    <comment ref="B12" authorId="0">
      <text>
        <r>
          <rPr>
            <b/>
            <sz val="9"/>
            <color indexed="81"/>
            <rFont val="Tahoma"/>
            <family val="2"/>
          </rPr>
          <t>Ida Kjærgaard:</t>
        </r>
        <r>
          <rPr>
            <sz val="9"/>
            <color indexed="81"/>
            <rFont val="Tahoma"/>
            <family val="2"/>
          </rPr>
          <t xml:space="preserve">
Skamstrup maskinstation oplyste at man oftest lejer frontlægger og halmvogn sammen til en pris på 650 kr/time</t>
        </r>
      </text>
    </comment>
    <comment ref="G12" authorId="0">
      <text>
        <r>
          <rPr>
            <b/>
            <sz val="9"/>
            <color indexed="81"/>
            <rFont val="Tahoma"/>
            <family val="2"/>
          </rPr>
          <t>Ida Kjærgaard:</t>
        </r>
        <r>
          <rPr>
            <sz val="9"/>
            <color indexed="81"/>
            <rFont val="Tahoma"/>
            <family val="2"/>
          </rPr>
          <t xml:space="preserve">
DRIFT</t>
        </r>
      </text>
    </comment>
    <comment ref="L12" authorId="0">
      <text>
        <r>
          <rPr>
            <b/>
            <sz val="9"/>
            <color indexed="81"/>
            <rFont val="Tahoma"/>
            <family val="2"/>
          </rPr>
          <t>Ida Kjærgaard:</t>
        </r>
        <r>
          <rPr>
            <sz val="9"/>
            <color indexed="81"/>
            <rFont val="Tahoma"/>
            <family val="2"/>
          </rPr>
          <t xml:space="preserve">
Skamstrup maskinstation: 68 kr/balle
Bejstrup maskinstation: 35 kr/balle
Brdr. Jacobsen: 45 kr/balle</t>
        </r>
      </text>
    </comment>
    <comment ref="B13" authorId="0">
      <text>
        <r>
          <rPr>
            <b/>
            <sz val="9"/>
            <color indexed="81"/>
            <rFont val="Tahoma"/>
            <family val="2"/>
          </rPr>
          <t>Ida Kjærgaard:</t>
        </r>
        <r>
          <rPr>
            <sz val="9"/>
            <color indexed="81"/>
            <rFont val="Tahoma"/>
            <family val="2"/>
          </rPr>
          <t xml:space="preserve">
Erfaringer fra Henrik Mortensen AU</t>
        </r>
      </text>
    </comment>
    <comment ref="G13" authorId="0">
      <text>
        <r>
          <rPr>
            <b/>
            <sz val="9"/>
            <color indexed="81"/>
            <rFont val="Tahoma"/>
            <family val="2"/>
          </rPr>
          <t>Ida Kjærgaard:</t>
        </r>
        <r>
          <rPr>
            <sz val="9"/>
            <color indexed="81"/>
            <rFont val="Tahoma"/>
            <family val="2"/>
          </rPr>
          <t xml:space="preserve">
Læssekapaciteten til et udstyr må være lig aflæssekapaciteten fra et udstur, når det ikke foregår i marken men ballerne er samlet.</t>
        </r>
      </text>
    </comment>
    <comment ref="L13" authorId="0">
      <text>
        <r>
          <rPr>
            <b/>
            <sz val="9"/>
            <color indexed="81"/>
            <rFont val="Tahoma"/>
            <family val="2"/>
          </rPr>
          <t>Ida Kjærgaard:</t>
        </r>
        <r>
          <rPr>
            <sz val="9"/>
            <color indexed="81"/>
            <rFont val="Tahoma"/>
            <family val="2"/>
          </rPr>
          <t xml:space="preserve">
Skamstrup maskinstation: 100 kr/balle
</t>
        </r>
      </text>
    </comment>
    <comment ref="G14" authorId="0">
      <text>
        <r>
          <rPr>
            <b/>
            <sz val="9"/>
            <color indexed="81"/>
            <rFont val="Tahoma"/>
            <family val="2"/>
          </rPr>
          <t>Ida Kjærgaard:</t>
        </r>
        <r>
          <rPr>
            <sz val="9"/>
            <color indexed="81"/>
            <rFont val="Tahoma"/>
            <family val="2"/>
          </rPr>
          <t xml:space="preserve">
COWI rapport: 15-20 min at læsse 33 tons med frontlæsser. Det svarer til 20min/33ton=0,6 min/ton</t>
        </r>
      </text>
    </comment>
    <comment ref="V14" authorId="0">
      <text>
        <r>
          <rPr>
            <b/>
            <sz val="9"/>
            <color indexed="81"/>
            <rFont val="Tahoma"/>
            <family val="2"/>
          </rPr>
          <t>Ida Kjærgaard:</t>
        </r>
        <r>
          <rPr>
            <sz val="9"/>
            <color indexed="81"/>
            <rFont val="Tahoma"/>
            <family val="2"/>
          </rPr>
          <t xml:space="preserve">
Gæt</t>
        </r>
      </text>
    </comment>
    <comment ref="V15" authorId="0">
      <text>
        <r>
          <rPr>
            <b/>
            <sz val="9"/>
            <color indexed="81"/>
            <rFont val="Tahoma"/>
            <family val="2"/>
          </rPr>
          <t>Ida Kjærgaard:</t>
        </r>
        <r>
          <rPr>
            <sz val="9"/>
            <color indexed="81"/>
            <rFont val="Tahoma"/>
            <family val="2"/>
          </rPr>
          <t xml:space="preserve">
FiB nr 47, marts 2014</t>
        </r>
      </text>
    </comment>
    <comment ref="G16" authorId="0">
      <text>
        <r>
          <rPr>
            <b/>
            <sz val="9"/>
            <color indexed="81"/>
            <rFont val="Tahoma"/>
            <family val="2"/>
          </rPr>
          <t>Ida Kjærgaard:</t>
        </r>
        <r>
          <rPr>
            <sz val="9"/>
            <color indexed="81"/>
            <rFont val="Tahoma"/>
            <family val="2"/>
          </rPr>
          <t xml:space="preserve">
Brdr. Jacobsen: 700 kr/time
Bejstrup maskinstation: 675 kr/time
Skinnerup maskinstation: 525 kr/time</t>
        </r>
      </text>
    </comment>
    <comment ref="Q16" authorId="1">
      <text>
        <r>
          <rPr>
            <b/>
            <sz val="9"/>
            <color indexed="81"/>
            <rFont val="Tahoma"/>
            <family val="2"/>
          </rPr>
          <t>Lone Abildgaard:</t>
        </r>
        <r>
          <rPr>
            <sz val="9"/>
            <color indexed="81"/>
            <rFont val="Tahoma"/>
            <family val="2"/>
          </rPr>
          <t xml:space="preserve">
Stemmer det?</t>
        </r>
      </text>
    </comment>
    <comment ref="V16" authorId="0">
      <text>
        <r>
          <rPr>
            <b/>
            <sz val="9"/>
            <color indexed="81"/>
            <rFont val="Tahoma"/>
            <family val="2"/>
          </rPr>
          <t>Ida Kjærgaard:</t>
        </r>
        <r>
          <rPr>
            <sz val="9"/>
            <color indexed="81"/>
            <rFont val="Tahoma"/>
            <family val="2"/>
          </rPr>
          <t xml:space="preserve">
Antaget det samme som briketteret. Mangler kilde fra kontinuerte reaktorer
</t>
        </r>
      </text>
    </comment>
    <comment ref="B17" authorId="0">
      <text>
        <r>
          <rPr>
            <b/>
            <sz val="9"/>
            <color indexed="81"/>
            <rFont val="Tahoma"/>
            <family val="2"/>
          </rPr>
          <t>Ida Kjærgaard:</t>
        </r>
        <r>
          <rPr>
            <sz val="9"/>
            <color indexed="81"/>
            <rFont val="Tahoma"/>
            <family val="2"/>
          </rPr>
          <t xml:space="preserve">
Brdr. Jacobsen: 600 kr/time
Bejstrup maskinstation: 650 kr/time</t>
        </r>
      </text>
    </comment>
    <comment ref="G17" authorId="0">
      <text>
        <r>
          <rPr>
            <b/>
            <sz val="9"/>
            <color indexed="81"/>
            <rFont val="Tahoma"/>
            <family val="2"/>
          </rPr>
          <t>Ida Kjærgaard:</t>
        </r>
        <r>
          <rPr>
            <sz val="9"/>
            <color indexed="81"/>
            <rFont val="Tahoma"/>
            <family val="2"/>
          </rPr>
          <t xml:space="preserve">
Fra Henrik Mortensen: 24 min/læs</t>
        </r>
      </text>
    </comment>
    <comment ref="L17" authorId="0">
      <text>
        <r>
          <rPr>
            <b/>
            <sz val="9"/>
            <color indexed="81"/>
            <rFont val="Tahoma"/>
            <family val="2"/>
          </rPr>
          <t>Ida Kjærgaard:</t>
        </r>
        <r>
          <rPr>
            <sz val="9"/>
            <color indexed="81"/>
            <rFont val="Tahoma"/>
            <family val="2"/>
          </rPr>
          <t xml:space="preserve">
Set et sted at det var gennemsnitsvægten for en halm storballe</t>
        </r>
      </text>
    </comment>
    <comment ref="V17"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G18" authorId="0">
      <text>
        <r>
          <rPr>
            <b/>
            <sz val="9"/>
            <color indexed="81"/>
            <rFont val="Tahoma"/>
            <family val="2"/>
          </rPr>
          <t>Ida Kjærgaard:</t>
        </r>
        <r>
          <rPr>
            <sz val="9"/>
            <color indexed="81"/>
            <rFont val="Tahoma"/>
            <family val="2"/>
          </rPr>
          <t xml:space="preserve">
Fra Henrik Mortensen: 24 min/læs</t>
        </r>
      </text>
    </comment>
    <comment ref="L18" authorId="0">
      <text>
        <r>
          <rPr>
            <b/>
            <sz val="9"/>
            <color indexed="81"/>
            <rFont val="Tahoma"/>
            <family val="2"/>
          </rPr>
          <t>Ida Kjærgaard:</t>
        </r>
        <r>
          <rPr>
            <sz val="9"/>
            <color indexed="81"/>
            <rFont val="Tahoma"/>
            <family val="2"/>
          </rPr>
          <t xml:space="preserve">
Udregnet baseret på en ballevægt på 550 kg med målene 240x120x120 cm</t>
        </r>
      </text>
    </comment>
    <comment ref="V18"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B19" authorId="0">
      <text>
        <r>
          <rPr>
            <b/>
            <sz val="9"/>
            <color indexed="81"/>
            <rFont val="Tahoma"/>
            <family val="2"/>
          </rPr>
          <t>Ida Kjærgaard:</t>
        </r>
        <r>
          <rPr>
            <sz val="9"/>
            <color indexed="81"/>
            <rFont val="Tahoma"/>
            <family val="2"/>
          </rPr>
          <t xml:space="preserve">
Gæt</t>
        </r>
      </text>
    </comment>
    <comment ref="G19" authorId="0">
      <text>
        <r>
          <rPr>
            <b/>
            <sz val="9"/>
            <color indexed="81"/>
            <rFont val="Tahoma"/>
            <family val="2"/>
          </rPr>
          <t>Ida Kjærgaard:</t>
        </r>
        <r>
          <rPr>
            <sz val="9"/>
            <color indexed="81"/>
            <rFont val="Tahoma"/>
            <family val="2"/>
          </rPr>
          <t xml:space="preserve">
Fra Henrik Mortensen: 24 min/læs</t>
        </r>
      </text>
    </comment>
    <comment ref="L19" authorId="0">
      <text>
        <r>
          <rPr>
            <b/>
            <sz val="9"/>
            <color indexed="81"/>
            <rFont val="Tahoma"/>
            <family val="2"/>
          </rPr>
          <t>Ida Kjærgaard:</t>
        </r>
        <r>
          <rPr>
            <sz val="9"/>
            <color indexed="81"/>
            <rFont val="Tahoma"/>
            <family val="2"/>
          </rPr>
          <t xml:space="preserve">
Tal fra et forsøg ved Nørreådalen</t>
        </r>
      </text>
    </comment>
    <comment ref="V19" authorId="1">
      <text>
        <r>
          <rPr>
            <b/>
            <sz val="9"/>
            <color indexed="81"/>
            <rFont val="Tahoma"/>
            <family val="2"/>
          </rPr>
          <t>Lone Abildgaard:</t>
        </r>
        <r>
          <rPr>
            <sz val="9"/>
            <color indexed="81"/>
            <rFont val="Tahoma"/>
            <family val="2"/>
          </rPr>
          <t xml:space="preserve">
Gns af flere kilder, se dokumentet om rapshalm til bioenergi på Ydrev</t>
        </r>
      </text>
    </comment>
    <comment ref="B20" authorId="0">
      <text>
        <r>
          <rPr>
            <b/>
            <sz val="9"/>
            <color indexed="81"/>
            <rFont val="Tahoma"/>
            <family val="2"/>
          </rPr>
          <t>Ida Kjærgaard:</t>
        </r>
        <r>
          <rPr>
            <sz val="9"/>
            <color indexed="81"/>
            <rFont val="Tahoma"/>
            <family val="2"/>
          </rPr>
          <t xml:space="preserve">
Skinnerup maskinstation: 575 kr/time</t>
        </r>
      </text>
    </comment>
    <comment ref="G20" authorId="0">
      <text>
        <r>
          <rPr>
            <b/>
            <sz val="9"/>
            <color indexed="81"/>
            <rFont val="Tahoma"/>
            <family val="2"/>
          </rPr>
          <t>Ida Kjærgaard:</t>
        </r>
        <r>
          <rPr>
            <sz val="9"/>
            <color indexed="81"/>
            <rFont val="Tahoma"/>
            <family val="2"/>
          </rPr>
          <t xml:space="preserve">
Fra Henrik Mortensen: 24 min/læs</t>
        </r>
      </text>
    </comment>
    <comment ref="L20" authorId="0">
      <text>
        <r>
          <rPr>
            <b/>
            <sz val="9"/>
            <color indexed="81"/>
            <rFont val="Tahoma"/>
            <family val="2"/>
          </rPr>
          <t>Ida Kjærgaard:</t>
        </r>
        <r>
          <rPr>
            <sz val="9"/>
            <color indexed="81"/>
            <rFont val="Tahoma"/>
            <family val="2"/>
          </rPr>
          <t xml:space="preserve">
Udregnet baseret på en runsballevægt på 280 kg og en diameter og højde på 120 cm. Tal fra et forsøg ved Nørreådalen.</t>
        </r>
      </text>
    </comment>
    <comment ref="Q20" authorId="1">
      <text>
        <r>
          <rPr>
            <b/>
            <sz val="9"/>
            <color indexed="81"/>
            <rFont val="Tahoma"/>
            <family val="2"/>
          </rPr>
          <t>Lone Abildgaard:</t>
        </r>
        <r>
          <rPr>
            <sz val="9"/>
            <color indexed="81"/>
            <rFont val="Tahoma"/>
            <family val="2"/>
          </rPr>
          <t xml:space="preserve">
Fordi decentral. Mest for Måbjerg. Så det er ekstraoomkostninger på løn fordi decentral.</t>
        </r>
      </text>
    </comment>
    <comment ref="B21" authorId="0">
      <text>
        <r>
          <rPr>
            <b/>
            <sz val="9"/>
            <color indexed="81"/>
            <rFont val="Tahoma"/>
            <family val="2"/>
          </rPr>
          <t>Ida Kjærgaard:</t>
        </r>
        <r>
          <rPr>
            <sz val="9"/>
            <color indexed="81"/>
            <rFont val="Tahoma"/>
            <family val="2"/>
          </rPr>
          <t xml:space="preserve">
Skinnerup maskinstation</t>
        </r>
      </text>
    </comment>
    <comment ref="G21" authorId="0">
      <text>
        <r>
          <rPr>
            <b/>
            <sz val="9"/>
            <color indexed="81"/>
            <rFont val="Tahoma"/>
            <family val="2"/>
          </rPr>
          <t>Ida Kjærgaard:</t>
        </r>
        <r>
          <rPr>
            <sz val="9"/>
            <color indexed="81"/>
            <rFont val="Tahoma"/>
            <family val="2"/>
          </rPr>
          <t xml:space="preserve">
Fra Henrik Mortensen: 10,8 min/læs med 24 bigballer.
Jeg har regnet ud at det må være 0,82 min/ton
</t>
        </r>
      </text>
    </comment>
    <comment ref="L21" authorId="0">
      <text>
        <r>
          <rPr>
            <b/>
            <sz val="9"/>
            <color indexed="81"/>
            <rFont val="Tahoma"/>
            <family val="2"/>
          </rPr>
          <t>Ida Kjærgaard:</t>
        </r>
        <r>
          <rPr>
            <sz val="9"/>
            <color indexed="81"/>
            <rFont val="Tahoma"/>
            <family val="2"/>
          </rPr>
          <t xml:space="preserve">
Skamstraup maskinstation: 600-700 kg/balle
Bejstrup maskinstation: 700-800 kg/balle</t>
        </r>
      </text>
    </comment>
    <comment ref="W21" authorId="1">
      <text>
        <r>
          <rPr>
            <b/>
            <sz val="9"/>
            <color indexed="81"/>
            <rFont val="Tahoma"/>
            <family val="2"/>
          </rPr>
          <t>Lone Abildgaard:</t>
        </r>
        <r>
          <rPr>
            <sz val="9"/>
            <color indexed="81"/>
            <rFont val="Tahoma"/>
            <family val="2"/>
          </rPr>
          <t xml:space="preserve">
Gæt, ca 15% mere ved ekstrudering
</t>
        </r>
      </text>
    </comment>
    <comment ref="B22" authorId="0">
      <text>
        <r>
          <rPr>
            <b/>
            <sz val="9"/>
            <color indexed="81"/>
            <rFont val="Tahoma"/>
            <family val="2"/>
          </rPr>
          <t>Ida Kjærgaard:</t>
        </r>
        <r>
          <rPr>
            <sz val="9"/>
            <color indexed="81"/>
            <rFont val="Tahoma"/>
            <family val="2"/>
          </rPr>
          <t xml:space="preserve">
Skinnerup maskinstation: 650 kr/time
Brdr. Jacobsen: 700 kr/time</t>
        </r>
      </text>
    </comment>
    <comment ref="G22" authorId="0">
      <text>
        <r>
          <rPr>
            <b/>
            <sz val="9"/>
            <color indexed="81"/>
            <rFont val="Tahoma"/>
            <family val="2"/>
          </rPr>
          <t>Ida Kjærgaard:</t>
        </r>
        <r>
          <rPr>
            <sz val="9"/>
            <color indexed="81"/>
            <rFont val="Tahoma"/>
            <family val="2"/>
          </rPr>
          <t xml:space="preserve">
Fra Henrik Mortensen: 10,8 min/læs med 24 bigballer.
Jeg har regnet ud at det må være 0,82 min/ton</t>
        </r>
      </text>
    </comment>
    <comment ref="L22" authorId="0">
      <text>
        <r>
          <rPr>
            <b/>
            <sz val="9"/>
            <color indexed="81"/>
            <rFont val="Tahoma"/>
            <family val="2"/>
          </rPr>
          <t>Ida Kjærgaard:</t>
        </r>
        <r>
          <rPr>
            <sz val="9"/>
            <color indexed="81"/>
            <rFont val="Tahoma"/>
            <family val="2"/>
          </rPr>
          <t xml:space="preserve">
Antaget, da tør rundballe i samme str ca. har en densitet på 0,2 ton/m3 regnet ud fra en diameter på 120 cm og en højde på 120 cm og en ballevægt på 280 kr (disse tal er baseret på et forsøg lavet ved nørreådalen). Og græsensilage har en densitet på 0,6, så har vagt en tal ml. 0,2-0,6</t>
        </r>
      </text>
    </comment>
    <comment ref="V22" authorId="0">
      <text>
        <r>
          <rPr>
            <b/>
            <sz val="9"/>
            <color indexed="81"/>
            <rFont val="Tahoma"/>
            <family val="2"/>
          </rPr>
          <t>Ida Kjærgaard:</t>
        </r>
        <r>
          <rPr>
            <sz val="9"/>
            <color indexed="81"/>
            <rFont val="Tahoma"/>
            <family val="2"/>
          </rPr>
          <t xml:space="preserve">
Kommende artikel skrevet af Jin Mi Triolo: Optimal Biomass Input and Storage to a Biogas Plant for Flexible Adjustment to Demand – Use of Beet Root Biomass. I introen står der at det varierer ml. 324-450 m3 CH4/tonVS</t>
        </r>
      </text>
    </comment>
    <comment ref="B23" authorId="0">
      <text>
        <r>
          <rPr>
            <b/>
            <sz val="9"/>
            <color indexed="81"/>
            <rFont val="Tahoma"/>
            <family val="2"/>
          </rPr>
          <t>Ida Kjærgaard:</t>
        </r>
        <r>
          <rPr>
            <sz val="9"/>
            <color indexed="81"/>
            <rFont val="Tahoma"/>
            <family val="2"/>
          </rPr>
          <t xml:space="preserve">
Skinnerup maskinstation</t>
        </r>
      </text>
    </comment>
    <comment ref="L23" authorId="0">
      <text>
        <r>
          <rPr>
            <b/>
            <sz val="9"/>
            <color indexed="81"/>
            <rFont val="Tahoma"/>
            <family val="2"/>
          </rPr>
          <t>Ida Kjærgaard:</t>
        </r>
        <r>
          <rPr>
            <sz val="9"/>
            <color indexed="81"/>
            <rFont val="Tahoma"/>
            <family val="2"/>
          </rPr>
          <t xml:space="preserve">
Håndbog for driftsplanlægning side 201. Densiteten er for græsensilage</t>
        </r>
      </text>
    </comment>
    <comment ref="V23" authorId="0">
      <text>
        <r>
          <rPr>
            <b/>
            <sz val="9"/>
            <color indexed="81"/>
            <rFont val="Tahoma"/>
            <family val="2"/>
          </rPr>
          <t>Ida Kjærgaard:</t>
        </r>
        <r>
          <rPr>
            <sz val="9"/>
            <color indexed="81"/>
            <rFont val="Tahoma"/>
            <family val="2"/>
          </rPr>
          <t xml:space="preserve">
FiB nr. 47, marts 2014
</t>
        </r>
      </text>
    </comment>
    <comment ref="B24" authorId="0">
      <text>
        <r>
          <rPr>
            <b/>
            <sz val="9"/>
            <color indexed="81"/>
            <rFont val="Tahoma"/>
            <family val="2"/>
          </rPr>
          <t>Ida Kjærgaard:</t>
        </r>
        <r>
          <rPr>
            <sz val="9"/>
            <color indexed="81"/>
            <rFont val="Tahoma"/>
            <family val="2"/>
          </rPr>
          <t xml:space="preserve">
Skamstrup maskinstation: 625 kr/time
Bejstrup maskinstation: 625 kr/time</t>
        </r>
      </text>
    </comment>
    <comment ref="G24" authorId="0">
      <text>
        <r>
          <rPr>
            <b/>
            <sz val="9"/>
            <color indexed="81"/>
            <rFont val="Tahoma"/>
            <family val="2"/>
          </rPr>
          <t>Ida Kjærgaard:</t>
        </r>
        <r>
          <rPr>
            <sz val="9"/>
            <color indexed="81"/>
            <rFont val="Tahoma"/>
            <family val="2"/>
          </rPr>
          <t xml:space="preserve">
Mogens Kjeldahl fra DMOGE</t>
        </r>
      </text>
    </comment>
    <comment ref="L24" authorId="0">
      <text>
        <r>
          <rPr>
            <b/>
            <sz val="9"/>
            <color indexed="81"/>
            <rFont val="Tahoma"/>
            <family val="2"/>
          </rPr>
          <t>Ida Kjærgaard:</t>
        </r>
        <r>
          <rPr>
            <sz val="9"/>
            <color indexed="81"/>
            <rFont val="Tahoma"/>
            <family val="2"/>
          </rPr>
          <t xml:space="preserve">
Cowi rapport.
Bulk densitet</t>
        </r>
      </text>
    </comment>
    <comment ref="V24"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B25" authorId="0">
      <text>
        <r>
          <rPr>
            <b/>
            <sz val="9"/>
            <color indexed="81"/>
            <rFont val="Tahoma"/>
            <family val="2"/>
          </rPr>
          <t>Ida Kjærgaard:</t>
        </r>
        <r>
          <rPr>
            <sz val="9"/>
            <color indexed="81"/>
            <rFont val="Tahoma"/>
            <family val="2"/>
          </rPr>
          <t xml:space="preserve">
skamstrup maskinstation</t>
        </r>
      </text>
    </comment>
    <comment ref="G25" authorId="0">
      <text>
        <r>
          <rPr>
            <b/>
            <sz val="9"/>
            <color indexed="81"/>
            <rFont val="Tahoma"/>
            <family val="2"/>
          </rPr>
          <t>Ida Kjærgaard:</t>
        </r>
        <r>
          <rPr>
            <sz val="9"/>
            <color indexed="81"/>
            <rFont val="Tahoma"/>
            <family val="2"/>
          </rPr>
          <t xml:space="preserve">
Generelt hvad de forskellige maskinstationer har oplyst</t>
        </r>
      </text>
    </comment>
    <comment ref="V25"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B26" authorId="0">
      <text>
        <r>
          <rPr>
            <b/>
            <sz val="9"/>
            <color indexed="81"/>
            <rFont val="Tahoma"/>
            <family val="2"/>
          </rPr>
          <t>Ida Kjærgaard:</t>
        </r>
        <r>
          <rPr>
            <sz val="9"/>
            <color indexed="81"/>
            <rFont val="Tahoma"/>
            <family val="2"/>
          </rPr>
          <t xml:space="preserve">
Mogens Kjeldahl DMOGE: 650 kr/time
Bejstrup maskinstation: 675 kr/time</t>
        </r>
      </text>
    </comment>
    <comment ref="V26" authorId="0">
      <text>
        <r>
          <rPr>
            <b/>
            <sz val="9"/>
            <color indexed="81"/>
            <rFont val="Tahoma"/>
            <family val="2"/>
          </rPr>
          <t>Ida Kjærgaard:</t>
        </r>
        <r>
          <rPr>
            <sz val="9"/>
            <color indexed="81"/>
            <rFont val="Tahoma"/>
            <family val="2"/>
          </rPr>
          <t xml:space="preserve">
Nordic Council of Ministers: Manure and Energy crop for biogas production</t>
        </r>
      </text>
    </comment>
    <comment ref="B27" authorId="0">
      <text>
        <r>
          <rPr>
            <b/>
            <sz val="9"/>
            <color indexed="81"/>
            <rFont val="Tahoma"/>
            <family val="2"/>
          </rPr>
          <t>Ida Kjærgaard:</t>
        </r>
        <r>
          <rPr>
            <sz val="9"/>
            <color indexed="81"/>
            <rFont val="Tahoma"/>
            <family val="2"/>
          </rPr>
          <t xml:space="preserve">
Skamstrup maskinstation</t>
        </r>
      </text>
    </comment>
    <comment ref="B30" authorId="0">
      <text>
        <r>
          <rPr>
            <b/>
            <sz val="9"/>
            <color indexed="81"/>
            <rFont val="Tahoma"/>
            <family val="2"/>
          </rPr>
          <t>Ida Kjærgaard:</t>
        </r>
        <r>
          <rPr>
            <sz val="9"/>
            <color indexed="81"/>
            <rFont val="Tahoma"/>
            <family val="2"/>
          </rPr>
          <t xml:space="preserve">
DRIFT</t>
        </r>
      </text>
    </comment>
    <comment ref="B31" authorId="0">
      <text>
        <r>
          <rPr>
            <b/>
            <sz val="9"/>
            <color indexed="81"/>
            <rFont val="Tahoma"/>
            <family val="2"/>
          </rPr>
          <t>Ida Kjærgaard:</t>
        </r>
        <r>
          <rPr>
            <sz val="9"/>
            <color indexed="81"/>
            <rFont val="Tahoma"/>
            <family val="2"/>
          </rPr>
          <t xml:space="preserve">
Den ligger ml 20-30</t>
        </r>
      </text>
    </comment>
    <comment ref="B32" authorId="0">
      <text>
        <r>
          <rPr>
            <b/>
            <sz val="9"/>
            <color indexed="81"/>
            <rFont val="Tahoma"/>
            <family val="2"/>
          </rPr>
          <t>Ida Kjærgaard:</t>
        </r>
        <r>
          <rPr>
            <sz val="9"/>
            <color indexed="81"/>
            <rFont val="Tahoma"/>
            <family val="2"/>
          </rPr>
          <t xml:space="preserve">
MEC har foretaget målinger på deres lastbiler og gennemsnitshastigheden var 51,5 km/time</t>
        </r>
      </text>
    </comment>
    <comment ref="G32" authorId="0">
      <text>
        <r>
          <rPr>
            <b/>
            <sz val="9"/>
            <color indexed="81"/>
            <rFont val="Tahoma"/>
            <family val="2"/>
          </rPr>
          <t>Ida Kjærgaard:</t>
        </r>
        <r>
          <rPr>
            <sz val="9"/>
            <color indexed="81"/>
            <rFont val="Tahoma"/>
            <family val="2"/>
          </rPr>
          <t xml:space="preserve">
Skampstrup maskinstation og skinnerup maskinstation siger, at det tager 3-4 minat tømme eller fylde et læs. Kapaciteten af skamstrups lastbil tanke er 35 tons:
4 min/læs/35 ton/læs = 0,11 min/ton</t>
        </r>
      </text>
    </comment>
    <comment ref="L32" authorId="0">
      <text>
        <r>
          <rPr>
            <b/>
            <sz val="9"/>
            <color indexed="81"/>
            <rFont val="Tahoma"/>
            <family val="2"/>
          </rPr>
          <t>Ida Kjærgaard:</t>
        </r>
        <r>
          <rPr>
            <sz val="9"/>
            <color indexed="81"/>
            <rFont val="Tahoma"/>
            <family val="2"/>
          </rPr>
          <t xml:space="preserve">
Fået oplyst af Karen og er eksklusiv afgift</t>
        </r>
      </text>
    </comment>
    <comment ref="G34" authorId="0">
      <text>
        <r>
          <rPr>
            <b/>
            <sz val="9"/>
            <color indexed="81"/>
            <rFont val="Tahoma"/>
            <family val="2"/>
          </rPr>
          <t>Ida Kjærgaard:</t>
        </r>
        <r>
          <rPr>
            <sz val="9"/>
            <color indexed="81"/>
            <rFont val="Tahoma"/>
            <family val="2"/>
          </rPr>
          <t xml:space="preserve">
Eskilstrup maskinstation. </t>
        </r>
      </text>
    </comment>
    <comment ref="G35" authorId="0">
      <text>
        <r>
          <rPr>
            <b/>
            <sz val="9"/>
            <color indexed="81"/>
            <rFont val="Tahoma"/>
            <family val="2"/>
          </rPr>
          <t>Ida Kjærgaard:</t>
        </r>
        <r>
          <rPr>
            <sz val="9"/>
            <color indexed="81"/>
            <rFont val="Tahoma"/>
            <family val="2"/>
          </rPr>
          <t xml:space="preserve">
Det tager ca. 5-6 min at læsse til en lastbil, der har kapacitet til 30 tons. Siger Eskild maskinstation</t>
        </r>
      </text>
    </comment>
    <comment ref="B36" authorId="0">
      <text>
        <r>
          <rPr>
            <b/>
            <sz val="9"/>
            <color indexed="81"/>
            <rFont val="Tahoma"/>
            <family val="2"/>
          </rPr>
          <t>Ida Kjærgaard:</t>
        </r>
        <r>
          <rPr>
            <sz val="9"/>
            <color indexed="81"/>
            <rFont val="Tahoma"/>
            <family val="2"/>
          </rPr>
          <t xml:space="preserve">
Skamstrup maskinstation: 715 kr/time
Brdr. Jacobsen: 850 kr/time
Bejstrup maskinstation: 1195 kr/time</t>
        </r>
      </text>
    </comment>
    <comment ref="L36" authorId="0">
      <text>
        <r>
          <rPr>
            <b/>
            <sz val="9"/>
            <color indexed="81"/>
            <rFont val="Tahoma"/>
            <family val="2"/>
          </rPr>
          <t>Ida Kjærgaard:</t>
        </r>
        <r>
          <rPr>
            <sz val="9"/>
            <color indexed="81"/>
            <rFont val="Tahoma"/>
            <family val="2"/>
          </rPr>
          <t xml:space="preserve">
Tina Tind</t>
        </r>
      </text>
    </comment>
    <comment ref="B37" authorId="0">
      <text>
        <r>
          <rPr>
            <b/>
            <sz val="9"/>
            <color indexed="81"/>
            <rFont val="Tahoma"/>
            <family val="2"/>
          </rPr>
          <t>Ida Kjærgaard:</t>
        </r>
        <r>
          <rPr>
            <sz val="9"/>
            <color indexed="81"/>
            <rFont val="Tahoma"/>
            <family val="2"/>
          </rPr>
          <t xml:space="preserve">
Skamstrup og brdr. Jakobsen</t>
        </r>
      </text>
    </comment>
    <comment ref="G37" authorId="0">
      <text>
        <r>
          <rPr>
            <b/>
            <sz val="9"/>
            <color indexed="81"/>
            <rFont val="Tahoma"/>
            <family val="2"/>
          </rPr>
          <t>Ida Kjærgaard:</t>
        </r>
        <r>
          <rPr>
            <sz val="9"/>
            <color indexed="81"/>
            <rFont val="Tahoma"/>
            <family val="2"/>
          </rPr>
          <t xml:space="preserve">
Brdr. Jacobsen: 605 kr/time
Bejstrup maskinstation: 745 kr/time</t>
        </r>
      </text>
    </comment>
    <comment ref="L37" authorId="0">
      <text>
        <r>
          <rPr>
            <b/>
            <sz val="9"/>
            <color indexed="81"/>
            <rFont val="Tahoma"/>
            <family val="2"/>
          </rPr>
          <t>Ida Kjærgaard:</t>
        </r>
        <r>
          <rPr>
            <sz val="9"/>
            <color indexed="81"/>
            <rFont val="Tahoma"/>
            <family val="2"/>
          </rPr>
          <t xml:space="preserve">
Tina Tind: 1,05
Mogens Kjeldahl, DMOGE: 1-1,2
</t>
        </r>
      </text>
    </comment>
    <comment ref="B38" authorId="0">
      <text>
        <r>
          <rPr>
            <b/>
            <sz val="9"/>
            <color indexed="81"/>
            <rFont val="Tahoma"/>
            <family val="2"/>
          </rPr>
          <t>Ida Kjærgaard:</t>
        </r>
        <r>
          <rPr>
            <sz val="9"/>
            <color indexed="81"/>
            <rFont val="Tahoma"/>
            <family val="2"/>
          </rPr>
          <t xml:space="preserve">
Skamstrup maskinstation: 825 kr/time
Brdr. Jacobsen: 725 kr/time
Bejstrup maskinstation: 750 kr/time</t>
        </r>
      </text>
    </comment>
    <comment ref="G38" authorId="0">
      <text>
        <r>
          <rPr>
            <b/>
            <sz val="9"/>
            <color indexed="81"/>
            <rFont val="Tahoma"/>
            <family val="2"/>
          </rPr>
          <t>Ida Kjærgaard:</t>
        </r>
        <r>
          <rPr>
            <sz val="9"/>
            <color indexed="81"/>
            <rFont val="Tahoma"/>
            <family val="2"/>
          </rPr>
          <t xml:space="preserve">
anslået 18 min pr. 32 ton = 0,56 min ton</t>
        </r>
      </text>
    </comment>
    <comment ref="L38" authorId="0">
      <text>
        <r>
          <rPr>
            <b/>
            <sz val="9"/>
            <color indexed="81"/>
            <rFont val="Tahoma"/>
            <family val="2"/>
          </rPr>
          <t>Ida Kjærgaard:</t>
        </r>
        <r>
          <rPr>
            <sz val="9"/>
            <color indexed="81"/>
            <rFont val="Tahoma"/>
            <family val="2"/>
          </rPr>
          <t xml:space="preserve">
Håndbog til driftsplanlægning
side. 201</t>
        </r>
      </text>
    </comment>
    <comment ref="B39" authorId="0">
      <text>
        <r>
          <rPr>
            <b/>
            <sz val="9"/>
            <color indexed="81"/>
            <rFont val="Tahoma"/>
            <family val="2"/>
          </rPr>
          <t>Ida Kjærgaard:</t>
        </r>
        <r>
          <rPr>
            <sz val="9"/>
            <color indexed="81"/>
            <rFont val="Tahoma"/>
            <family val="2"/>
          </rPr>
          <t xml:space="preserve">
Skamstrup og Brdr. Jakobsen</t>
        </r>
      </text>
    </comment>
    <comment ref="G39" authorId="0">
      <text>
        <r>
          <rPr>
            <b/>
            <sz val="9"/>
            <color indexed="81"/>
            <rFont val="Tahoma"/>
            <family val="2"/>
          </rPr>
          <t>Ida Kjærgaard:</t>
        </r>
        <r>
          <rPr>
            <sz val="9"/>
            <color indexed="81"/>
            <rFont val="Tahoma"/>
            <family val="2"/>
          </rPr>
          <t xml:space="preserve">
Fra Henrik Mortensen</t>
        </r>
      </text>
    </comment>
    <comment ref="L39" authorId="0">
      <text>
        <r>
          <rPr>
            <b/>
            <sz val="9"/>
            <color indexed="81"/>
            <rFont val="Tahoma"/>
            <family val="2"/>
          </rPr>
          <t>Ida Kjærgaard:</t>
        </r>
        <r>
          <rPr>
            <sz val="9"/>
            <color indexed="81"/>
            <rFont val="Tahoma"/>
            <family val="2"/>
          </rPr>
          <t xml:space="preserve">
Håndbog til driftsplanlægning side 201
Svinger fra 1,1-1,3</t>
        </r>
      </text>
    </comment>
    <comment ref="B40" authorId="0">
      <text>
        <r>
          <rPr>
            <b/>
            <sz val="9"/>
            <color indexed="81"/>
            <rFont val="Tahoma"/>
            <family val="2"/>
          </rPr>
          <t>Ida Kjærgaard:</t>
        </r>
        <r>
          <rPr>
            <sz val="9"/>
            <color indexed="81"/>
            <rFont val="Tahoma"/>
            <family val="2"/>
          </rPr>
          <t xml:space="preserve">
Gæt. Skal kontrolleres</t>
        </r>
      </text>
    </comment>
    <comment ref="G40" authorId="0">
      <text>
        <r>
          <rPr>
            <b/>
            <sz val="9"/>
            <color indexed="81"/>
            <rFont val="Tahoma"/>
            <family val="2"/>
          </rPr>
          <t>Ida Kjærgaard:</t>
        </r>
        <r>
          <rPr>
            <sz val="9"/>
            <color indexed="81"/>
            <rFont val="Tahoma"/>
            <family val="2"/>
          </rPr>
          <t xml:space="preserve">
Fra Henrik Mortensen</t>
        </r>
      </text>
    </comment>
    <comment ref="L40" authorId="0">
      <text>
        <r>
          <rPr>
            <b/>
            <sz val="9"/>
            <color indexed="81"/>
            <rFont val="Tahoma"/>
            <family val="2"/>
          </rPr>
          <t>Ida Kjærgaard:</t>
        </r>
        <r>
          <rPr>
            <sz val="9"/>
            <color indexed="81"/>
            <rFont val="Tahoma"/>
            <family val="2"/>
          </rPr>
          <t xml:space="preserve">
Jens Peter Lunden udlejer sin elephant beet washer</t>
        </r>
      </text>
    </comment>
    <comment ref="G41" authorId="0">
      <text>
        <r>
          <rPr>
            <b/>
            <sz val="9"/>
            <color indexed="81"/>
            <rFont val="Tahoma"/>
            <family val="2"/>
          </rPr>
          <t>Ida Kjærgaard:</t>
        </r>
        <r>
          <rPr>
            <sz val="9"/>
            <color indexed="81"/>
            <rFont val="Tahoma"/>
            <family val="2"/>
          </rPr>
          <t xml:space="preserve">
Fra Henrik Mortensen</t>
        </r>
      </text>
    </comment>
    <comment ref="L41" authorId="0">
      <text>
        <r>
          <rPr>
            <b/>
            <sz val="9"/>
            <color indexed="81"/>
            <rFont val="Tahoma"/>
            <family val="2"/>
          </rPr>
          <t>Ida Kjærgaard:</t>
        </r>
        <r>
          <rPr>
            <sz val="9"/>
            <color indexed="81"/>
            <rFont val="Tahoma"/>
            <family val="2"/>
          </rPr>
          <t xml:space="preserve">
Jens Peter Lunden</t>
        </r>
      </text>
    </comment>
    <comment ref="L42" authorId="0">
      <text>
        <r>
          <rPr>
            <b/>
            <sz val="9"/>
            <color indexed="81"/>
            <rFont val="Tahoma"/>
            <family val="2"/>
          </rPr>
          <t>Ida Kjærgaard:</t>
        </r>
        <r>
          <rPr>
            <sz val="9"/>
            <color indexed="81"/>
            <rFont val="Tahoma"/>
            <family val="2"/>
          </rPr>
          <t xml:space="preserve">
Jens Peter Lunden</t>
        </r>
      </text>
    </comment>
    <comment ref="L43" authorId="0">
      <text>
        <r>
          <rPr>
            <b/>
            <sz val="9"/>
            <color indexed="81"/>
            <rFont val="Tahoma"/>
            <family val="2"/>
          </rPr>
          <t>Ida Kjærgaard:</t>
        </r>
        <r>
          <rPr>
            <sz val="9"/>
            <color indexed="81"/>
            <rFont val="Tahoma"/>
            <family val="2"/>
          </rPr>
          <t xml:space="preserve">
Elo west
Tal  fra en powerpoint han sendte</t>
        </r>
      </text>
    </comment>
    <comment ref="L44" authorId="0">
      <text>
        <r>
          <rPr>
            <b/>
            <sz val="9"/>
            <color indexed="81"/>
            <rFont val="Tahoma"/>
            <family val="2"/>
          </rPr>
          <t>Ida Kjærgaard:</t>
        </r>
        <r>
          <rPr>
            <sz val="9"/>
            <color indexed="81"/>
            <rFont val="Tahoma"/>
            <family val="2"/>
          </rPr>
          <t xml:space="preserve">
Powerpoint fra Elo West</t>
        </r>
      </text>
    </comment>
    <comment ref="L45" authorId="0">
      <text>
        <r>
          <rPr>
            <b/>
            <sz val="9"/>
            <color indexed="81"/>
            <rFont val="Tahoma"/>
            <family val="2"/>
          </rPr>
          <t>Ida Kjærgaard:</t>
        </r>
        <r>
          <rPr>
            <sz val="9"/>
            <color indexed="81"/>
            <rFont val="Tahoma"/>
            <family val="2"/>
          </rPr>
          <t xml:space="preserve">
Powerpoint fra Elo West</t>
        </r>
      </text>
    </comment>
  </commentList>
</comments>
</file>

<file path=xl/comments8.xml><?xml version="1.0" encoding="utf-8"?>
<comments xmlns="http://schemas.openxmlformats.org/spreadsheetml/2006/main">
  <authors>
    <author>Lone Abildgaard</author>
  </authors>
  <commentList>
    <comment ref="C1" authorId="0">
      <text>
        <r>
          <rPr>
            <b/>
            <sz val="9"/>
            <color indexed="81"/>
            <rFont val="Tahoma"/>
            <family val="2"/>
          </rPr>
          <t>Lone Abildgaard:</t>
        </r>
        <r>
          <rPr>
            <sz val="9"/>
            <color indexed="81"/>
            <rFont val="Tahoma"/>
            <family val="2"/>
          </rPr>
          <t xml:space="preserve">
Fra Karen</t>
        </r>
      </text>
    </comment>
    <comment ref="B33" authorId="0">
      <text>
        <r>
          <rPr>
            <b/>
            <sz val="9"/>
            <color indexed="81"/>
            <rFont val="Tahoma"/>
            <family val="2"/>
          </rPr>
          <t>Lone Abildgaard:</t>
        </r>
        <r>
          <rPr>
            <sz val="9"/>
            <color indexed="81"/>
            <rFont val="Tahoma"/>
            <family val="2"/>
          </rPr>
          <t xml:space="preserve">
KCS 1600 Cover System.
Pris okt 2014.
Både cover og maskine til pålægning. Ekstra cover koster 18921
</t>
        </r>
      </text>
    </comment>
    <comment ref="B60" authorId="0">
      <text>
        <r>
          <rPr>
            <b/>
            <sz val="9"/>
            <color indexed="81"/>
            <rFont val="Tahoma"/>
            <family val="2"/>
          </rPr>
          <t>Lone Abildgaard:</t>
        </r>
        <r>
          <rPr>
            <sz val="9"/>
            <color indexed="81"/>
            <rFont val="Tahoma"/>
            <family val="2"/>
          </rPr>
          <t xml:space="preserve">
KCS 1600 Cover System.
Pris okt 2014.
Både cover og maskine til pålægning. Ekstra cover koster 18921
</t>
        </r>
      </text>
    </comment>
    <comment ref="C64" authorId="0">
      <text>
        <r>
          <rPr>
            <b/>
            <sz val="9"/>
            <color indexed="81"/>
            <rFont val="Tahoma"/>
            <family val="2"/>
          </rPr>
          <t>Lone Abildgaard:</t>
        </r>
        <r>
          <rPr>
            <sz val="9"/>
            <color indexed="81"/>
            <rFont val="Tahoma"/>
            <family val="2"/>
          </rPr>
          <t xml:space="preserve">
gns over 81 majs siloer. Se papirnote i majsmappe</t>
        </r>
      </text>
    </comment>
    <comment ref="B90" authorId="0">
      <text>
        <r>
          <rPr>
            <b/>
            <sz val="9"/>
            <color indexed="81"/>
            <rFont val="Tahoma"/>
            <family val="2"/>
          </rPr>
          <t>Lone Abildgaard:</t>
        </r>
        <r>
          <rPr>
            <sz val="9"/>
            <color indexed="81"/>
            <rFont val="Tahoma"/>
            <family val="2"/>
          </rPr>
          <t xml:space="preserve">
KCS 1600 Cover System.
Pris okt 2014.
Både cover og maskine til pålægning. Ekstra cover koster 18921
</t>
        </r>
      </text>
    </comment>
  </commentList>
</comments>
</file>

<file path=xl/comments9.xml><?xml version="1.0" encoding="utf-8"?>
<comments xmlns="http://schemas.openxmlformats.org/spreadsheetml/2006/main">
  <authors>
    <author>Lone Abildgaard</author>
  </authors>
  <commentList>
    <comment ref="A3" authorId="0">
      <text>
        <r>
          <rPr>
            <b/>
            <sz val="9"/>
            <color indexed="81"/>
            <rFont val="Tahoma"/>
            <family val="2"/>
          </rPr>
          <t>Lone Abildgaard:</t>
        </r>
        <r>
          <rPr>
            <sz val="9"/>
            <color indexed="81"/>
            <rFont val="Tahoma"/>
            <family val="2"/>
          </rPr>
          <t xml:space="preserve">
Hvor kommer tallene fra? Kilde: Grov vurdering, Ida. Man må selv indtaste, om man har andre tal</t>
        </r>
      </text>
    </comment>
    <comment ref="E4" authorId="0">
      <text>
        <r>
          <rPr>
            <b/>
            <sz val="9"/>
            <color indexed="81"/>
            <rFont val="Tahoma"/>
            <family val="2"/>
          </rPr>
          <t>Lone Abildgaard:</t>
        </r>
        <r>
          <rPr>
            <sz val="9"/>
            <color indexed="81"/>
            <rFont val="Tahoma"/>
            <family val="2"/>
          </rPr>
          <t xml:space="preserve">
Skal have lagring til minimum 9 mdr</t>
        </r>
      </text>
    </comment>
    <comment ref="E5" authorId="0">
      <text>
        <r>
          <rPr>
            <b/>
            <sz val="9"/>
            <color indexed="81"/>
            <rFont val="Tahoma"/>
            <family val="2"/>
          </rPr>
          <t>Lone Abildgaard:</t>
        </r>
        <r>
          <rPr>
            <sz val="9"/>
            <color indexed="81"/>
            <rFont val="Tahoma"/>
            <family val="2"/>
          </rPr>
          <t xml:space="preserve">
Det han allerede har af lager</t>
        </r>
      </text>
    </comment>
    <comment ref="E6" authorId="0">
      <text>
        <r>
          <rPr>
            <b/>
            <sz val="9"/>
            <color indexed="81"/>
            <rFont val="Tahoma"/>
            <family val="2"/>
          </rPr>
          <t>Lone Abildgaard:</t>
        </r>
        <r>
          <rPr>
            <sz val="9"/>
            <color indexed="81"/>
            <rFont val="Tahoma"/>
            <family val="2"/>
          </rPr>
          <t xml:space="preserve">
Hvis han skal købe nyt lager</t>
        </r>
      </text>
    </comment>
    <comment ref="E8" authorId="0">
      <text>
        <r>
          <rPr>
            <b/>
            <sz val="9"/>
            <color indexed="81"/>
            <rFont val="Tahoma"/>
            <family val="2"/>
          </rPr>
          <t>Lone Abildgaard:</t>
        </r>
        <r>
          <rPr>
            <sz val="9"/>
            <color indexed="81"/>
            <rFont val="Tahoma"/>
            <family val="2"/>
          </rPr>
          <t xml:space="preserve">
Har højst fundet priser på 5000 m3 og mindst 2000 m3. Tankene findes normalt ikke større i DK, så det må være flere tanke til større værker</t>
        </r>
      </text>
    </comment>
    <comment ref="G9" authorId="0">
      <text>
        <r>
          <rPr>
            <b/>
            <sz val="9"/>
            <color indexed="81"/>
            <rFont val="Tahoma"/>
            <family val="2"/>
          </rPr>
          <t>Lone Abildgaard:</t>
        </r>
        <r>
          <rPr>
            <sz val="9"/>
            <color indexed="81"/>
            <rFont val="Tahoma"/>
            <family val="2"/>
          </rPr>
          <t xml:space="preserve">
Hvor ændres resultatet af dropdown?</t>
        </r>
      </text>
    </comment>
    <comment ref="H18" authorId="0">
      <text>
        <r>
          <rPr>
            <b/>
            <sz val="9"/>
            <color indexed="81"/>
            <rFont val="Tahoma"/>
            <family val="2"/>
          </rPr>
          <t>Lone Abildgaard:</t>
        </r>
        <r>
          <rPr>
            <sz val="9"/>
            <color indexed="81"/>
            <rFont val="Tahoma"/>
            <family val="2"/>
          </rPr>
          <t xml:space="preserve">
Hvorfor flere beregninger, når man kan vælge flere tanke?</t>
        </r>
      </text>
    </comment>
  </commentList>
</comments>
</file>

<file path=xl/sharedStrings.xml><?xml version="1.0" encoding="utf-8"?>
<sst xmlns="http://schemas.openxmlformats.org/spreadsheetml/2006/main" count="1728" uniqueCount="649">
  <si>
    <t>Forudsætninger</t>
  </si>
  <si>
    <t>Transport</t>
  </si>
  <si>
    <t>Traktor med grab</t>
  </si>
  <si>
    <t>Gummiged</t>
  </si>
  <si>
    <t>Teleskoplæsser</t>
  </si>
  <si>
    <t>Lastbil med walking floor</t>
  </si>
  <si>
    <t>Traktor med gyllevogn</t>
  </si>
  <si>
    <t>Lastbil med gyllevogn</t>
  </si>
  <si>
    <t>Høst og bjærgning</t>
  </si>
  <si>
    <t>Optager, kr/time</t>
  </si>
  <si>
    <t>Hovedmenu</t>
  </si>
  <si>
    <t>Valg af biomasse:</t>
  </si>
  <si>
    <t>Rundballer</t>
  </si>
  <si>
    <t>Biomasseinformationer</t>
  </si>
  <si>
    <t>Tørstof, %</t>
  </si>
  <si>
    <t>Stykomkostninger</t>
  </si>
  <si>
    <t>Slutprodukt:</t>
  </si>
  <si>
    <t>Maskin- og arbejdsomkostninger</t>
  </si>
  <si>
    <t>Gødningsspredning</t>
  </si>
  <si>
    <t>Såbedsharvning</t>
  </si>
  <si>
    <t>Såning</t>
  </si>
  <si>
    <t>Tromling</t>
  </si>
  <si>
    <t>Skårlægning</t>
  </si>
  <si>
    <t>Sammenrivning</t>
  </si>
  <si>
    <t>Bund, kr/m2</t>
  </si>
  <si>
    <t>Rente, %</t>
  </si>
  <si>
    <t>Levetid, år</t>
  </si>
  <si>
    <t>Lagringsomkostninger, kr/ton</t>
  </si>
  <si>
    <t>Transportomkostninger, kr/ton</t>
  </si>
  <si>
    <t>Energiudbytte, kWh/ton</t>
  </si>
  <si>
    <t>Elektricitet, kWh/ton</t>
  </si>
  <si>
    <t>Varme, kWh/ton</t>
  </si>
  <si>
    <t>Salg af varme, kr/ton</t>
  </si>
  <si>
    <t>Salg af elektricitet, kr/ton</t>
  </si>
  <si>
    <t>Gasproduktion</t>
  </si>
  <si>
    <t>Energiindhold i methan, kWh/m3</t>
  </si>
  <si>
    <t>Eleffektivitet i gasmotor, %</t>
  </si>
  <si>
    <t>Varmeeffektivitet i gasmotor, %</t>
  </si>
  <si>
    <t>Salgspris for el, kr/kWh</t>
  </si>
  <si>
    <t>Salgspris for varme, kr/kWh</t>
  </si>
  <si>
    <t>Samlet indtægt, kr.</t>
  </si>
  <si>
    <t>Ekstrudering</t>
  </si>
  <si>
    <t>Indkøbspris, kr</t>
  </si>
  <si>
    <t>Kapacitet, ton/år</t>
  </si>
  <si>
    <t>Afskrivning, %</t>
  </si>
  <si>
    <t>Vedligeholdelseomkostninger, kr/ton</t>
  </si>
  <si>
    <t>Driftomkostninger, kWh/ton</t>
  </si>
  <si>
    <t>Energipris, kr/kWh</t>
  </si>
  <si>
    <t>Enggræs</t>
  </si>
  <si>
    <t>Optager kapacitet, ha/time</t>
  </si>
  <si>
    <t>Samlede omkostninger, kr/ton</t>
  </si>
  <si>
    <t>Samlet indtægt, kr/ton</t>
  </si>
  <si>
    <t>Plan silo</t>
  </si>
  <si>
    <t>Dimension</t>
  </si>
  <si>
    <t>Handelsgødning, kvælstof</t>
  </si>
  <si>
    <t>Handelsgødning, fosfor</t>
  </si>
  <si>
    <t>Husdyrgødning</t>
  </si>
  <si>
    <t>Længde, m</t>
  </si>
  <si>
    <t>Bredde, m</t>
  </si>
  <si>
    <t>Højde, m</t>
  </si>
  <si>
    <t>Volumen, m3</t>
  </si>
  <si>
    <t>Udnyttelse</t>
  </si>
  <si>
    <t>Pris for elementer:</t>
  </si>
  <si>
    <t>L-elementer, 3x1 m, kr/L-element</t>
  </si>
  <si>
    <t>Volumen pr ekstra meter lager, m3</t>
  </si>
  <si>
    <t>Omkostning pr ekstra meter lager, kr</t>
  </si>
  <si>
    <t>Pris for lager, kr</t>
  </si>
  <si>
    <t>Afskrivning, kr</t>
  </si>
  <si>
    <t>Pris inkl jordbearbejdning, kr</t>
  </si>
  <si>
    <t>Pris for ekstra lagerlængde, kr</t>
  </si>
  <si>
    <t>Teleskoplæsser, kr/time</t>
  </si>
  <si>
    <t>Læsse/aflæsse</t>
  </si>
  <si>
    <t>Andre parametre</t>
  </si>
  <si>
    <t>Traktor hastighed, mark</t>
  </si>
  <si>
    <t>Traktor hastighed, vej</t>
  </si>
  <si>
    <t>Lastbil hastighed, vej</t>
  </si>
  <si>
    <t>Læsse kapacitet roer, min/ton</t>
  </si>
  <si>
    <t>Kapacitet, ton/læs</t>
  </si>
  <si>
    <t>Valg af transportudstyr:</t>
  </si>
  <si>
    <t>Indtastning af forudsætninger - halm</t>
  </si>
  <si>
    <t>Transport inkl. læsning og aflæsning</t>
  </si>
  <si>
    <t>Halm</t>
  </si>
  <si>
    <t>Staklade</t>
  </si>
  <si>
    <t>Lade med fast gulv</t>
  </si>
  <si>
    <t>Lade med fast gulv til briketter</t>
  </si>
  <si>
    <t>Maskin- og arbejdsomkostninger i marken</t>
  </si>
  <si>
    <t>Forsikring, kr/år</t>
  </si>
  <si>
    <t>Rente</t>
  </si>
  <si>
    <t>Data fra DRIFT</t>
  </si>
  <si>
    <t>Wrap</t>
  </si>
  <si>
    <t>Bigballer</t>
  </si>
  <si>
    <t>Ballevægt, kg</t>
  </si>
  <si>
    <t>Baller/læs</t>
  </si>
  <si>
    <t>Aflæsse, min/ha</t>
  </si>
  <si>
    <t>Læsse i mark, min/ha</t>
  </si>
  <si>
    <t>Gennemsnitlige læssekapacitet, min/ha</t>
  </si>
  <si>
    <t>Frontlæsser</t>
  </si>
  <si>
    <t>Gennemsnitlig aflæssekapacitet, min/ha</t>
  </si>
  <si>
    <t>Læssekapacitet til lastbil, dybstrøelse, min/ton</t>
  </si>
  <si>
    <t>Læssekapacitet i stald, dybstrøelse, min/ton</t>
  </si>
  <si>
    <t>Afstand, km</t>
  </si>
  <si>
    <t>Transport til anlæg</t>
  </si>
  <si>
    <t>Difference, kr</t>
  </si>
  <si>
    <t>Transport til landmandens lager</t>
  </si>
  <si>
    <t>Læssekapacitet, min/ton</t>
  </si>
  <si>
    <t>Aflæssekapacitet, min/ton</t>
  </si>
  <si>
    <t>Hastighed, km/time</t>
  </si>
  <si>
    <t>Aflæsse, dybstrøelse, min/ton</t>
  </si>
  <si>
    <t>Læsse/aflæsse - briketter</t>
  </si>
  <si>
    <t>Biogasudbytter</t>
  </si>
  <si>
    <t>Briketter, m3 CH4/ton VS</t>
  </si>
  <si>
    <t>Enggræs, m3 CH4/ton VS</t>
  </si>
  <si>
    <t>Gylle, m3 CH4/ton VS</t>
  </si>
  <si>
    <t>Roer, m3 CH4/ton VS</t>
  </si>
  <si>
    <t>Dybstrøelse, m3 CH4/ton VS</t>
  </si>
  <si>
    <t>Majs, m3 CH4/ton VS</t>
  </si>
  <si>
    <t>Ekstruderet enggræs, m3 CH4/ton VS</t>
  </si>
  <si>
    <t>Ekstruderet halm, m3 CH4/ton VS</t>
  </si>
  <si>
    <t>Ekstruderet dybstrøelse, m3 CH4/ton VS</t>
  </si>
  <si>
    <t>Halm, m3 CH4/ton VS</t>
  </si>
  <si>
    <t>Gylle, ton/bedrift</t>
  </si>
  <si>
    <t>Organisk stof, VS/TS%</t>
  </si>
  <si>
    <t>Methanpotentiale, m3 CH4/ton VS</t>
  </si>
  <si>
    <t>Indtastning af forudsætninger - gylle</t>
  </si>
  <si>
    <t>Afstand til biogasanlæg, km</t>
  </si>
  <si>
    <t>Transport til biogasanlæg (Frisk gylle)</t>
  </si>
  <si>
    <t>Transport til landmand (Afgasset gylle)</t>
  </si>
  <si>
    <t>Resultater - gylle</t>
  </si>
  <si>
    <t>GYLLE/AFGASSET GYLLE</t>
  </si>
  <si>
    <t>-</t>
  </si>
  <si>
    <t>Gylle:</t>
  </si>
  <si>
    <t>Tømme/fylde, min/ton</t>
  </si>
  <si>
    <t>Dybstrøelse, ton/bedrift</t>
  </si>
  <si>
    <t>Transport fra stak til anlæg</t>
  </si>
  <si>
    <t>Gummiged, kr/time</t>
  </si>
  <si>
    <t>Gylle</t>
  </si>
  <si>
    <t>Dybstrøelse</t>
  </si>
  <si>
    <t>Resultater - dybstrøelse</t>
  </si>
  <si>
    <t>DYBSTRØELSE</t>
  </si>
  <si>
    <t>Forbehandlingsomkostninger, kr/ton</t>
  </si>
  <si>
    <t>Ekstrudering på anlæg</t>
  </si>
  <si>
    <t>Transport fra anlæg til landmand/gylletank</t>
  </si>
  <si>
    <t>Densitet, dybstrøelse, ton/m3</t>
  </si>
  <si>
    <t>Densitet, afgasset gylle, ton/m3</t>
  </si>
  <si>
    <t>Jordtype:</t>
  </si>
  <si>
    <t>Roer</t>
  </si>
  <si>
    <t>JB 1-3</t>
  </si>
  <si>
    <t>JB 1-4 m. vanding</t>
  </si>
  <si>
    <t>JB 5-6</t>
  </si>
  <si>
    <t>Udsæd</t>
  </si>
  <si>
    <t>N</t>
  </si>
  <si>
    <t>P</t>
  </si>
  <si>
    <t>K</t>
  </si>
  <si>
    <t>Pløjning</t>
  </si>
  <si>
    <t>Efterharvning</t>
  </si>
  <si>
    <t>Sprøjtning</t>
  </si>
  <si>
    <t>Optagning</t>
  </si>
  <si>
    <t>Vanding</t>
  </si>
  <si>
    <t>Vanding, flytning</t>
  </si>
  <si>
    <t>Vanding pr. ml</t>
  </si>
  <si>
    <t>Øvrige opgaver</t>
  </si>
  <si>
    <t>Med husdyrgødning:</t>
  </si>
  <si>
    <t>Uden husdyrgødning:</t>
  </si>
  <si>
    <t>Ukrudt</t>
  </si>
  <si>
    <t>Samlede omkostninger, kr/år</t>
  </si>
  <si>
    <t>Samlet indtægt, kr/år</t>
  </si>
  <si>
    <t>Difference, kr/år</t>
  </si>
  <si>
    <t>Indtastning af forudsætninger - dybstrøelse</t>
  </si>
  <si>
    <t>Densitet, hele roer, ton/m3</t>
  </si>
  <si>
    <t>Densitet, roepulp, ton/m3</t>
  </si>
  <si>
    <t>Vask og snitning, kr/ton</t>
  </si>
  <si>
    <t>Lagring på anlæg</t>
  </si>
  <si>
    <t>Hele roer i plan silo</t>
  </si>
  <si>
    <t xml:space="preserve">Roepulp i lagune/tank </t>
  </si>
  <si>
    <t>Lægnde, m</t>
  </si>
  <si>
    <t>L-elementer, 3x1m, kr/element</t>
  </si>
  <si>
    <t>Roelæsser inkl. tørrens</t>
  </si>
  <si>
    <t>Roelæsser, kr/ton</t>
  </si>
  <si>
    <t>Læsse fra kule</t>
  </si>
  <si>
    <t>Transport fra kule til anlæg</t>
  </si>
  <si>
    <t>Elephant beet washer</t>
  </si>
  <si>
    <t>Elephant Beet Washer, kr/time</t>
  </si>
  <si>
    <t>KWS vask, kr/time</t>
  </si>
  <si>
    <t>Lastbil med container</t>
  </si>
  <si>
    <t>Afgasset gylle, ton/bedrift</t>
  </si>
  <si>
    <t>Jordarbejde</t>
  </si>
  <si>
    <t>m3</t>
  </si>
  <si>
    <t>Lagring af afgasset gylle</t>
  </si>
  <si>
    <t>Forventet anskaffelsespris:</t>
  </si>
  <si>
    <t>Transport fra optager til kule</t>
  </si>
  <si>
    <t>HELE ROER</t>
  </si>
  <si>
    <t>ROEPULP</t>
  </si>
  <si>
    <t>KWS vådvask</t>
  </si>
  <si>
    <t>Thyregod tørvask</t>
  </si>
  <si>
    <t>Thyregod vask, kr/time</t>
  </si>
  <si>
    <t>Vådvask, kr/ton</t>
  </si>
  <si>
    <t>Tørvask, kr/ton</t>
  </si>
  <si>
    <t>Vandpris, kr/m3</t>
  </si>
  <si>
    <t>Kapacitet, ton/time</t>
  </si>
  <si>
    <t>Vandforbrug, L/ton</t>
  </si>
  <si>
    <t>Transport, fast pris, kr</t>
  </si>
  <si>
    <t>Transport af EBW fra Asdal til anlæg, km</t>
  </si>
  <si>
    <t>Blokvogn, kr/time</t>
  </si>
  <si>
    <t>Elephant beet washer, kr/time</t>
  </si>
  <si>
    <t>KWS vådvasker, kr/time</t>
  </si>
  <si>
    <t>Rensning af roer på anlæg (inden lagring)</t>
  </si>
  <si>
    <t>km</t>
  </si>
  <si>
    <t>Briketter</t>
  </si>
  <si>
    <t>Tankstørrelse, m3</t>
  </si>
  <si>
    <t>Antal tanke, stk</t>
  </si>
  <si>
    <t>Gyllebeholder, kr/stk</t>
  </si>
  <si>
    <t>Teltoverdækning, kr/stk</t>
  </si>
  <si>
    <t>Jordarbejde, kr/tank</t>
  </si>
  <si>
    <t>Antal tanke</t>
  </si>
  <si>
    <t>Tank str. 1</t>
  </si>
  <si>
    <t>Antal</t>
  </si>
  <si>
    <t>Tank str. 2</t>
  </si>
  <si>
    <t>Retur</t>
  </si>
  <si>
    <t>Egen lager, m3</t>
  </si>
  <si>
    <t>Lagerbehov, m3</t>
  </si>
  <si>
    <t>Krævet lagerkapacitet jf. husdyrbekendtgørelsen, m3</t>
  </si>
  <si>
    <t>Transport dybstrøelse</t>
  </si>
  <si>
    <t>Transport afgasset gylle</t>
  </si>
  <si>
    <t>Kapacitet</t>
  </si>
  <si>
    <t>baller/læs</t>
  </si>
  <si>
    <t>Pris</t>
  </si>
  <si>
    <t>Belægning</t>
  </si>
  <si>
    <t>Teltdug</t>
  </si>
  <si>
    <t>Transportomkostninger</t>
  </si>
  <si>
    <t>kr/ton</t>
  </si>
  <si>
    <t>Hele roer:</t>
  </si>
  <si>
    <t>Roepulp:</t>
  </si>
  <si>
    <t>Tank, kr/stk</t>
  </si>
  <si>
    <t>Teltdug, kr/stk</t>
  </si>
  <si>
    <t>Invendig belægning, kr/tank</t>
  </si>
  <si>
    <t>Enmandsoperation til opsamling af baller:</t>
  </si>
  <si>
    <t>Roer:</t>
  </si>
  <si>
    <t>Tomandsoperation til opsamling af baller:</t>
  </si>
  <si>
    <t>Gylletransport:</t>
  </si>
  <si>
    <t>Rapshalm, m3 CH4/ton VS</t>
  </si>
  <si>
    <t>ton</t>
  </si>
  <si>
    <t>pr. år</t>
  </si>
  <si>
    <t>stk</t>
  </si>
  <si>
    <t>Transport til anlæg/briketstation</t>
  </si>
  <si>
    <t>Transport videre til anlæg</t>
  </si>
  <si>
    <t>Afstand til briketpresse, km</t>
  </si>
  <si>
    <t>Særligt for decentral brikettering</t>
  </si>
  <si>
    <t>Decentral forbehandling</t>
  </si>
  <si>
    <t>Ønsket slutprodukt</t>
  </si>
  <si>
    <t>Ekstruderet halm</t>
  </si>
  <si>
    <t>Briketteret halm</t>
  </si>
  <si>
    <t>Metanpotentiale</t>
  </si>
  <si>
    <t>Biomasseinformation</t>
  </si>
  <si>
    <r>
      <t>Kapacitet, m</t>
    </r>
    <r>
      <rPr>
        <vertAlign val="superscript"/>
        <sz val="11"/>
        <color theme="1"/>
        <rFont val="Calibri"/>
        <family val="2"/>
        <scheme val="minor"/>
      </rPr>
      <t>3</t>
    </r>
    <r>
      <rPr>
        <sz val="11"/>
        <color theme="1"/>
        <rFont val="Calibri"/>
        <family val="2"/>
        <scheme val="minor"/>
      </rPr>
      <t>/læs</t>
    </r>
  </si>
  <si>
    <t>Høstudbytte</t>
  </si>
  <si>
    <t>Forsikring</t>
  </si>
  <si>
    <t>Majs</t>
  </si>
  <si>
    <t>Enhedspris med husdyrgødning:</t>
  </si>
  <si>
    <t>Enhedspris uden husdyrgødning:</t>
  </si>
  <si>
    <t>Plastik</t>
  </si>
  <si>
    <t>JB 5-6 med husdyrgødning</t>
  </si>
  <si>
    <t xml:space="preserve">JB 5-6 </t>
  </si>
  <si>
    <t>JB 1-3 med husdyrgødning</t>
  </si>
  <si>
    <t>JB 1-4 med husdyrgødning og vanding</t>
  </si>
  <si>
    <t>Vanding fast omkostning</t>
  </si>
  <si>
    <t>Vanding flytning</t>
  </si>
  <si>
    <t>Vanding per millimeter, gns år</t>
  </si>
  <si>
    <t>Ekstruderet Rapshalm</t>
  </si>
  <si>
    <t>Briketeret Rapshalm</t>
  </si>
  <si>
    <t>Læsse hos landmand</t>
  </si>
  <si>
    <t>Læsse på anlæg</t>
  </si>
  <si>
    <t>kapacitet, ton/læs</t>
  </si>
  <si>
    <t>Udgifter til ekstrudering</t>
  </si>
  <si>
    <t>Udgifter til brikettering</t>
  </si>
  <si>
    <t>Decentral brikettering</t>
  </si>
  <si>
    <t>Halm til Anlæg</t>
  </si>
  <si>
    <t>OBS! Afskrivning indgår ikke i anskaffelsespris</t>
  </si>
  <si>
    <t>Kun lagring som briketter</t>
  </si>
  <si>
    <t>ton/år</t>
  </si>
  <si>
    <t>Forbehandling</t>
  </si>
  <si>
    <t>Lagring</t>
  </si>
  <si>
    <t>Afgrøde</t>
  </si>
  <si>
    <t>Jordtype</t>
  </si>
  <si>
    <t>Høstmetode</t>
  </si>
  <si>
    <t>Gødskning</t>
  </si>
  <si>
    <t>Gødningsomkostning</t>
  </si>
  <si>
    <t>Gaspotentiale</t>
  </si>
  <si>
    <t>Udbytte</t>
  </si>
  <si>
    <t>Udbytte, råvare</t>
  </si>
  <si>
    <t>kg pr. ha</t>
  </si>
  <si>
    <t>Tørstofindhold</t>
  </si>
  <si>
    <t>% inkl. aske</t>
  </si>
  <si>
    <t>Aske indhold</t>
  </si>
  <si>
    <t>% af tørstof</t>
  </si>
  <si>
    <t>Udbytte, organisk tørstof</t>
  </si>
  <si>
    <t>Gasudbytte</t>
  </si>
  <si>
    <r>
      <t>Nm</t>
    </r>
    <r>
      <rPr>
        <vertAlign val="superscript"/>
        <sz val="11"/>
        <color indexed="8"/>
        <rFont val="Calibri"/>
        <family val="2"/>
      </rPr>
      <t>3</t>
    </r>
    <r>
      <rPr>
        <sz val="11"/>
        <color theme="1"/>
        <rFont val="Calibri"/>
        <family val="2"/>
        <scheme val="minor"/>
      </rPr>
      <t xml:space="preserve"> metan pr. ha</t>
    </r>
  </si>
  <si>
    <t>Biogasgylle</t>
  </si>
  <si>
    <t>Produktionsomkostninger</t>
  </si>
  <si>
    <t>kr.</t>
  </si>
  <si>
    <t>Gødning (P og K)</t>
  </si>
  <si>
    <t>Diverse</t>
  </si>
  <si>
    <t>Stykomkostninger i alt</t>
  </si>
  <si>
    <t>Biogasgylle udbringning</t>
  </si>
  <si>
    <t>Maskiner og arbejde i alt</t>
  </si>
  <si>
    <t>Tab i udlægsafgrøde</t>
  </si>
  <si>
    <t>Reduceret N-eftervirkning</t>
  </si>
  <si>
    <t>Merudbytte næste afgrøde</t>
  </si>
  <si>
    <t>Udbyttepåvirkning i alt</t>
  </si>
  <si>
    <t>Lagring i alt</t>
  </si>
  <si>
    <t>Omkostninger i alt</t>
  </si>
  <si>
    <t>Produktionspris</t>
  </si>
  <si>
    <t>Ab mark</t>
  </si>
  <si>
    <t>Ab lager</t>
  </si>
  <si>
    <t>An anlæg</t>
  </si>
  <si>
    <t>Råvare</t>
  </si>
  <si>
    <t>kr. pr. ton</t>
  </si>
  <si>
    <t>Tørstof (organisk)</t>
  </si>
  <si>
    <r>
      <t>kr. pr. Nm</t>
    </r>
    <r>
      <rPr>
        <vertAlign val="superscript"/>
        <sz val="11"/>
        <color indexed="8"/>
        <rFont val="Calibri"/>
        <family val="2"/>
      </rPr>
      <t>3</t>
    </r>
    <r>
      <rPr>
        <sz val="11"/>
        <color theme="1"/>
        <rFont val="Calibri"/>
        <family val="2"/>
        <scheme val="minor"/>
      </rPr>
      <t xml:space="preserve"> metan</t>
    </r>
  </si>
  <si>
    <t>Produktionsomkostninger for halm til biogas</t>
  </si>
  <si>
    <t>Ikke relevant</t>
  </si>
  <si>
    <t>Transport til landmand</t>
  </si>
  <si>
    <t>Læsning hos landmand</t>
  </si>
  <si>
    <t>kr/time</t>
  </si>
  <si>
    <t>min/ton</t>
  </si>
  <si>
    <t>Traktor med frontlæsser og halmvogn</t>
  </si>
  <si>
    <t>Læssehastighed mark</t>
  </si>
  <si>
    <t>Læssehastighed lager</t>
  </si>
  <si>
    <t>ton pr. ha</t>
  </si>
  <si>
    <t>Presning</t>
  </si>
  <si>
    <r>
      <t>m</t>
    </r>
    <r>
      <rPr>
        <vertAlign val="superscript"/>
        <sz val="11"/>
        <color theme="1"/>
        <rFont val="Calibri"/>
        <family val="2"/>
        <scheme val="minor"/>
      </rPr>
      <t>3</t>
    </r>
  </si>
  <si>
    <t>Lagertyper</t>
  </si>
  <si>
    <t>Ydelse</t>
  </si>
  <si>
    <t>Brugt til halm</t>
  </si>
  <si>
    <t>Brugt til andet</t>
  </si>
  <si>
    <t>Brugt i alt</t>
  </si>
  <si>
    <t>Total pris</t>
  </si>
  <si>
    <t xml:space="preserve">Lagring </t>
  </si>
  <si>
    <t>Udbytte, hvis briketter</t>
  </si>
  <si>
    <t>Lade med grusgulv</t>
  </si>
  <si>
    <t>Pris i alt</t>
  </si>
  <si>
    <t>Udbytte, hvis halmballer</t>
  </si>
  <si>
    <t>Lagring hos landmand</t>
  </si>
  <si>
    <t>ha.</t>
  </si>
  <si>
    <t>ton/ha.</t>
  </si>
  <si>
    <t>Opdyrket areal</t>
  </si>
  <si>
    <t>kr./ton</t>
  </si>
  <si>
    <t>kr./time</t>
  </si>
  <si>
    <t>Bigballepresning</t>
  </si>
  <si>
    <t>Tørstof</t>
  </si>
  <si>
    <t>Organisk stof - VS/TS</t>
  </si>
  <si>
    <t>ton/læs</t>
  </si>
  <si>
    <t>km/time</t>
  </si>
  <si>
    <t>Briketeret halm</t>
  </si>
  <si>
    <t>Afstand til anlæg</t>
  </si>
  <si>
    <t>Hastighed</t>
  </si>
  <si>
    <t>Kapacitet baller</t>
  </si>
  <si>
    <t>Kapacitet ton</t>
  </si>
  <si>
    <r>
      <t>L CH</t>
    </r>
    <r>
      <rPr>
        <vertAlign val="subscript"/>
        <sz val="11"/>
        <rFont val="Calibri"/>
        <family val="2"/>
        <scheme val="minor"/>
      </rPr>
      <t>4</t>
    </r>
    <r>
      <rPr>
        <sz val="11"/>
        <rFont val="Calibri"/>
        <family val="2"/>
        <scheme val="minor"/>
      </rPr>
      <t>/kg VS</t>
    </r>
  </si>
  <si>
    <t>Total mængde lagret halm, landmand</t>
  </si>
  <si>
    <t>Total mængde lagret halm, anlæg</t>
  </si>
  <si>
    <t>Brikketering</t>
  </si>
  <si>
    <t>Ydelse per  maskine</t>
  </si>
  <si>
    <t>kr./år</t>
  </si>
  <si>
    <t>år</t>
  </si>
  <si>
    <t>Ekstruder, mikser og transportbånd</t>
  </si>
  <si>
    <t>Drift og vedligehold</t>
  </si>
  <si>
    <t>Afskrivning</t>
  </si>
  <si>
    <t>Levetid</t>
  </si>
  <si>
    <t>Drift og vedlighold, kr/ton</t>
  </si>
  <si>
    <t>Drift og vedlighold</t>
  </si>
  <si>
    <t xml:space="preserve">Briketpresser inkl. hammermølle og installation </t>
  </si>
  <si>
    <t>Briketpresser inkl. hammermølle og installation kr</t>
  </si>
  <si>
    <t>m3/læs</t>
  </si>
  <si>
    <r>
      <t>Pris pr m</t>
    </r>
    <r>
      <rPr>
        <b/>
        <vertAlign val="superscript"/>
        <sz val="11"/>
        <color theme="1"/>
        <rFont val="Calibri"/>
        <family val="2"/>
        <scheme val="minor"/>
      </rPr>
      <t>3</t>
    </r>
  </si>
  <si>
    <t>Samlede omkostninger</t>
  </si>
  <si>
    <t>Samlede omkostninger per ton</t>
  </si>
  <si>
    <t>kWh/ton</t>
  </si>
  <si>
    <t>Energiudbytte</t>
  </si>
  <si>
    <t>Salg af elektricitet</t>
  </si>
  <si>
    <t>Salg af varme</t>
  </si>
  <si>
    <t>- Heraf varme</t>
  </si>
  <si>
    <t>- Heraf elektricitet</t>
  </si>
  <si>
    <t>Samlet salg per ton</t>
  </si>
  <si>
    <t>Lagring, landmand</t>
  </si>
  <si>
    <t>Lagring, anlæg</t>
  </si>
  <si>
    <t>Forventet udbytte ved bioforgasning:</t>
  </si>
  <si>
    <t>Antal ekstrudere/briketpressere</t>
  </si>
  <si>
    <t>Afskrivning per maskine</t>
  </si>
  <si>
    <t>Samlede indtægter</t>
  </si>
  <si>
    <t>Methanpotentiale</t>
  </si>
  <si>
    <t>%</t>
  </si>
  <si>
    <t>Lån løbetid</t>
  </si>
  <si>
    <t>kr./kg</t>
  </si>
  <si>
    <t>kr./ha</t>
  </si>
  <si>
    <t>kr./balle</t>
  </si>
  <si>
    <t>Handelsgødning, kalium</t>
  </si>
  <si>
    <t>Spredning af husdyrgødning</t>
  </si>
  <si>
    <t>Finsnitning</t>
  </si>
  <si>
    <t>Ilægning og komprimering</t>
  </si>
  <si>
    <r>
      <t>m</t>
    </r>
    <r>
      <rPr>
        <vertAlign val="superscript"/>
        <sz val="11"/>
        <rFont val="Calibri"/>
        <family val="2"/>
        <scheme val="minor"/>
      </rPr>
      <t>3</t>
    </r>
    <r>
      <rPr>
        <sz val="11"/>
        <rFont val="Calibri"/>
        <family val="2"/>
        <scheme val="minor"/>
      </rPr>
      <t>/læs</t>
    </r>
  </si>
  <si>
    <t>Afstand på vej</t>
  </si>
  <si>
    <t>Lastbil med forvogn &amp; anhænger</t>
  </si>
  <si>
    <t>Traktor med halmvogn</t>
  </si>
  <si>
    <t>Traktor med tipvogn</t>
  </si>
  <si>
    <t>Lastbil med tip</t>
  </si>
  <si>
    <t>ha</t>
  </si>
  <si>
    <t>ton/ha</t>
  </si>
  <si>
    <t>ton/m3</t>
  </si>
  <si>
    <t>Markstørrelse</t>
  </si>
  <si>
    <t xml:space="preserve">Organisk stof </t>
  </si>
  <si>
    <t>Densitet, roepulp</t>
  </si>
  <si>
    <t>Ukrudtsbekæmpelse</t>
  </si>
  <si>
    <t>Bund</t>
  </si>
  <si>
    <t>Længde</t>
  </si>
  <si>
    <t>Højde</t>
  </si>
  <si>
    <t>Samlet kapacitet</t>
  </si>
  <si>
    <t>%-vis udnyttelse af maskine</t>
  </si>
  <si>
    <t>Transport til briketpresser</t>
  </si>
  <si>
    <t>Afstand til landmandens lager</t>
  </si>
  <si>
    <t>Afstand fra mark til briketstation</t>
  </si>
  <si>
    <t>Afstand fra landmand til anlæg</t>
  </si>
  <si>
    <t>Modellens pris</t>
  </si>
  <si>
    <t>Bigballer/læs</t>
  </si>
  <si>
    <t>Rundballer/læs</t>
  </si>
  <si>
    <t>bigballer/læs</t>
  </si>
  <si>
    <t>rundballer/læs</t>
  </si>
  <si>
    <t>Kapacitet, rundballer</t>
  </si>
  <si>
    <t>Kapacitet i mark, rundballer</t>
  </si>
  <si>
    <t>Kapacitet, halmvogn1</t>
  </si>
  <si>
    <t>Blokvogn</t>
  </si>
  <si>
    <t>Kapacitet, bigballer</t>
  </si>
  <si>
    <t>Transport på vej</t>
  </si>
  <si>
    <t>Hastigheder</t>
  </si>
  <si>
    <t>km/t</t>
  </si>
  <si>
    <t>Prisforslag</t>
  </si>
  <si>
    <t>Læssehastigheder:</t>
  </si>
  <si>
    <t>Læsse, mark, wrap rundballer</t>
  </si>
  <si>
    <t>Aflæsse, wrap rundballer</t>
  </si>
  <si>
    <t>Læsse, mark, rundballer</t>
  </si>
  <si>
    <t>Aflæsse, rundballer</t>
  </si>
  <si>
    <t>Læsse, mark, bigballer</t>
  </si>
  <si>
    <t>Aflæsse, bigballer</t>
  </si>
  <si>
    <t>Læsse, bigballer</t>
  </si>
  <si>
    <t>Læsse, briketter</t>
  </si>
  <si>
    <t>min/læs</t>
  </si>
  <si>
    <t xml:space="preserve">Læsse, rundballer </t>
  </si>
  <si>
    <t>Læsse, wrap</t>
  </si>
  <si>
    <t xml:space="preserve">Aflæsse, wrap </t>
  </si>
  <si>
    <t>Læsse bigballer</t>
  </si>
  <si>
    <t>Aflæsse tipvogn, briketter</t>
  </si>
  <si>
    <t>Vægt og densitet</t>
  </si>
  <si>
    <t>Økonomi</t>
  </si>
  <si>
    <t>ha/time</t>
  </si>
  <si>
    <t>ton/balle</t>
  </si>
  <si>
    <t>Finsnitter</t>
  </si>
  <si>
    <t>Finsnitter kapacitet - græs</t>
  </si>
  <si>
    <t>Finsnitter kapacitet - majs</t>
  </si>
  <si>
    <t>Rive</t>
  </si>
  <si>
    <t>Bigballe presning per balle</t>
  </si>
  <si>
    <t>Bigballepresning per ton</t>
  </si>
  <si>
    <t>Rundballepresser (tør biomasse) per balle</t>
  </si>
  <si>
    <t>Rundballepresser inkl. Wrap (Våd biomasse) per balle</t>
  </si>
  <si>
    <t>Bigballevægt</t>
  </si>
  <si>
    <t>Densitet, bigballe</t>
  </si>
  <si>
    <t>Rundballevægt</t>
  </si>
  <si>
    <t>Densitet, rundballe</t>
  </si>
  <si>
    <t>Wrapballevægt</t>
  </si>
  <si>
    <t>Densitet, wraprundballe</t>
  </si>
  <si>
    <t>Densitet, finsnittet græs</t>
  </si>
  <si>
    <t>Densitet, briket</t>
  </si>
  <si>
    <t>kr./m3</t>
  </si>
  <si>
    <t>Vandpris</t>
  </si>
  <si>
    <t>løbetid</t>
  </si>
  <si>
    <t>kr/år</t>
  </si>
  <si>
    <t>Hammermølle, transportbånd og opriver</t>
  </si>
  <si>
    <t>Briketpresser</t>
  </si>
  <si>
    <t>Installation mv.</t>
  </si>
  <si>
    <t>Briketpresser inkl hammermøller og installation</t>
  </si>
  <si>
    <t>Drift</t>
  </si>
  <si>
    <t>Vedligehold</t>
  </si>
  <si>
    <t>Leje af bygning</t>
  </si>
  <si>
    <t>Personaleomkostninger</t>
  </si>
  <si>
    <t>Presser kapacitet</t>
  </si>
  <si>
    <t>Drift kWh</t>
  </si>
  <si>
    <t>kr/kWh</t>
  </si>
  <si>
    <t>kWh/m3</t>
  </si>
  <si>
    <t>Energipris</t>
  </si>
  <si>
    <t>Energiindhold i methan</t>
  </si>
  <si>
    <t>Salgspris for el</t>
  </si>
  <si>
    <t>Salgspris for varme</t>
  </si>
  <si>
    <r>
      <t>m</t>
    </r>
    <r>
      <rPr>
        <vertAlign val="superscript"/>
        <sz val="11"/>
        <color theme="1"/>
        <rFont val="Calibri"/>
        <family val="2"/>
        <scheme val="minor"/>
      </rPr>
      <t>3</t>
    </r>
    <r>
      <rPr>
        <sz val="11"/>
        <color theme="1"/>
        <rFont val="Calibri"/>
        <family val="2"/>
        <scheme val="minor"/>
      </rPr>
      <t xml:space="preserve"> CH</t>
    </r>
    <r>
      <rPr>
        <vertAlign val="subscript"/>
        <sz val="11"/>
        <color theme="1"/>
        <rFont val="Calibri"/>
        <family val="2"/>
        <scheme val="minor"/>
      </rPr>
      <t>4</t>
    </r>
    <r>
      <rPr>
        <sz val="11"/>
        <color theme="1"/>
        <rFont val="Calibri"/>
        <family val="2"/>
        <scheme val="minor"/>
      </rPr>
      <t>/tonVS</t>
    </r>
  </si>
  <si>
    <r>
      <t>m</t>
    </r>
    <r>
      <rPr>
        <vertAlign val="superscript"/>
        <sz val="11"/>
        <color theme="0" tint="-0.249977111117893"/>
        <rFont val="Calibri"/>
        <family val="2"/>
        <scheme val="minor"/>
      </rPr>
      <t>3</t>
    </r>
    <r>
      <rPr>
        <sz val="11"/>
        <color theme="0" tint="-0.249977111117893"/>
        <rFont val="Calibri"/>
        <family val="2"/>
        <scheme val="minor"/>
      </rPr>
      <t xml:space="preserve"> CH</t>
    </r>
    <r>
      <rPr>
        <vertAlign val="subscript"/>
        <sz val="11"/>
        <color theme="0" tint="-0.249977111117893"/>
        <rFont val="Calibri"/>
        <family val="2"/>
        <scheme val="minor"/>
      </rPr>
      <t>4</t>
    </r>
    <r>
      <rPr>
        <sz val="11"/>
        <color theme="0" tint="-0.249977111117893"/>
        <rFont val="Calibri"/>
        <family val="2"/>
        <scheme val="minor"/>
      </rPr>
      <t>/tonVS</t>
    </r>
  </si>
  <si>
    <t>Ekstruderet enggræs</t>
  </si>
  <si>
    <t>Rapshalm</t>
  </si>
  <si>
    <t>Ekstruderet dybstrøelse</t>
  </si>
  <si>
    <t>ton/time</t>
  </si>
  <si>
    <t>L/ton</t>
  </si>
  <si>
    <t>kr</t>
  </si>
  <si>
    <t>Lastbil med tipvogn</t>
  </si>
  <si>
    <t>Lagerbehov</t>
  </si>
  <si>
    <t>Tælletal</t>
  </si>
  <si>
    <t>JB 5-6 ned husdyrgødning</t>
  </si>
  <si>
    <t>JB 1-4 m.husdyrgødning og vanding</t>
  </si>
  <si>
    <t>JB 1-3+ husgød</t>
  </si>
  <si>
    <t>JB 1-4 + husgød+ vand</t>
  </si>
  <si>
    <t>JB 5-6 + husgød + vand</t>
  </si>
  <si>
    <t>JB 1-4 m. husdyrgødning og vanding</t>
  </si>
  <si>
    <t>JB 5-6 m. husdyrgødning</t>
  </si>
  <si>
    <t>Majs udsæd</t>
  </si>
  <si>
    <t xml:space="preserve">kapacitet </t>
  </si>
  <si>
    <t>Vand</t>
  </si>
  <si>
    <t>Vandforbrug</t>
  </si>
  <si>
    <t>Blokvogn, hastighed med roevasker</t>
  </si>
  <si>
    <t>Ingen yderligere rens</t>
  </si>
  <si>
    <t>vand</t>
  </si>
  <si>
    <t>kr./ton roe</t>
  </si>
  <si>
    <t>Vandpris, kr/L</t>
  </si>
  <si>
    <t>Vandomkostninger</t>
  </si>
  <si>
    <t>Afstand til kule</t>
  </si>
  <si>
    <t>Hele roer/plansilo</t>
  </si>
  <si>
    <t xml:space="preserve">Roepulp </t>
  </si>
  <si>
    <t>Lagring som</t>
  </si>
  <si>
    <t>Plansilo</t>
  </si>
  <si>
    <t>kr/m3</t>
  </si>
  <si>
    <t xml:space="preserve">Ydelse </t>
  </si>
  <si>
    <t>Hele roer</t>
  </si>
  <si>
    <t>Roepulp</t>
  </si>
  <si>
    <t>Spredning husdyrgødning</t>
  </si>
  <si>
    <t>prissat</t>
  </si>
  <si>
    <t>Ikke</t>
  </si>
  <si>
    <t>Samlet pris, KWS</t>
  </si>
  <si>
    <t>Kapacitet i ton</t>
  </si>
  <si>
    <t>Produktion- og høstomkostninger</t>
  </si>
  <si>
    <t>Lagringsomkostninger</t>
  </si>
  <si>
    <t>Samlede omkostninger, kr</t>
  </si>
  <si>
    <t xml:space="preserve">Indtastning af forudsætninger - roer </t>
  </si>
  <si>
    <t xml:space="preserve">Resultater - Roer </t>
  </si>
  <si>
    <t>Såning med gødningsilægning</t>
  </si>
  <si>
    <t>Traktor med tip</t>
  </si>
  <si>
    <t>kapacitet</t>
  </si>
  <si>
    <t>Timepris, køretøj</t>
  </si>
  <si>
    <t>Densitet, snittet majs</t>
  </si>
  <si>
    <t>Resultater - majs</t>
  </si>
  <si>
    <t>Under udarbejdelse</t>
  </si>
  <si>
    <t>Lagring i Plansilo</t>
  </si>
  <si>
    <t>Volumen af ensileret majs</t>
  </si>
  <si>
    <r>
      <t>m</t>
    </r>
    <r>
      <rPr>
        <vertAlign val="superscript"/>
        <sz val="11"/>
        <rFont val="Calibri"/>
        <family val="2"/>
        <scheme val="minor"/>
      </rPr>
      <t>3</t>
    </r>
  </si>
  <si>
    <t>Volumen, snittet majs</t>
  </si>
  <si>
    <t xml:space="preserve">Indtastning af forudsætninger - Majs </t>
  </si>
  <si>
    <t>Majsensilage</t>
  </si>
  <si>
    <t>0,85 kr/kgTS</t>
  </si>
  <si>
    <t>kr/kgTS</t>
  </si>
  <si>
    <t>salgspris</t>
  </si>
  <si>
    <t>VS indhold, %</t>
  </si>
  <si>
    <r>
      <t>Nm</t>
    </r>
    <r>
      <rPr>
        <vertAlign val="superscript"/>
        <sz val="11"/>
        <color theme="1"/>
        <rFont val="Calibri"/>
        <family val="2"/>
        <scheme val="minor"/>
      </rPr>
      <t>3</t>
    </r>
    <r>
      <rPr>
        <sz val="11"/>
        <color theme="1"/>
        <rFont val="Calibri"/>
        <family val="2"/>
        <scheme val="minor"/>
      </rPr>
      <t>/ha</t>
    </r>
  </si>
  <si>
    <t>Biogasudbytte per hektar</t>
  </si>
  <si>
    <t>Kr./kgTS</t>
  </si>
  <si>
    <t>Omkostninger per ton</t>
  </si>
  <si>
    <t>Omkostninger per kgTS</t>
  </si>
  <si>
    <t>rente pct.</t>
  </si>
  <si>
    <t>kr/tons</t>
  </si>
  <si>
    <t>kr/kg TS</t>
  </si>
  <si>
    <t>723.000 kr./510300 kg</t>
  </si>
  <si>
    <t>Pris pr. kg TS</t>
  </si>
  <si>
    <t>Tons</t>
  </si>
  <si>
    <t>TS vægt</t>
  </si>
  <si>
    <t>TS % i græs</t>
  </si>
  <si>
    <t>tons/m3</t>
  </si>
  <si>
    <t>Vægt af græs</t>
  </si>
  <si>
    <t>Omkostning pr. m3</t>
  </si>
  <si>
    <t>Jordarbejde mm + 10 pct</t>
  </si>
  <si>
    <t>I alt</t>
  </si>
  <si>
    <t>Sider 2x 50+16</t>
  </si>
  <si>
    <t>m2</t>
  </si>
  <si>
    <t>3x1 meter</t>
  </si>
  <si>
    <t>L -elementer</t>
  </si>
  <si>
    <t>Pris på anlægget</t>
  </si>
  <si>
    <t>m3 i alt</t>
  </si>
  <si>
    <t>meter</t>
  </si>
  <si>
    <t>Brede</t>
  </si>
  <si>
    <t>Volume</t>
  </si>
  <si>
    <t>Græsensilage kørsilo</t>
  </si>
  <si>
    <t xml:space="preserve"> kr/tons</t>
  </si>
  <si>
    <t>TS % i roer</t>
  </si>
  <si>
    <t>Vægt af roer</t>
  </si>
  <si>
    <t>Udnyttelse i roekule form</t>
  </si>
  <si>
    <t>Hele roer i kørsilo</t>
  </si>
  <si>
    <t>TS % i majs</t>
  </si>
  <si>
    <t>Omkostninger pr. m3</t>
  </si>
  <si>
    <t>Majs ensilage kørsilo</t>
  </si>
  <si>
    <t>Vægt af hele roer</t>
  </si>
  <si>
    <t>€</t>
  </si>
  <si>
    <t xml:space="preserve">Pris ca </t>
  </si>
  <si>
    <t xml:space="preserve">Reduceret med </t>
  </si>
  <si>
    <t>Eksempel fra Tyskland</t>
  </si>
  <si>
    <t>Hel roer - tørensilering</t>
  </si>
  <si>
    <t>700.000 kr./720.000 kg</t>
  </si>
  <si>
    <t>TS % i pulp</t>
  </si>
  <si>
    <t>Vægt af pulp</t>
  </si>
  <si>
    <t>Pris pr. m3</t>
  </si>
  <si>
    <t>Afrundet pris</t>
  </si>
  <si>
    <t xml:space="preserve"> I alt</t>
  </si>
  <si>
    <t>Indvendig belægning, Bitumen ca</t>
  </si>
  <si>
    <t>rør, snegl mm</t>
  </si>
  <si>
    <t>Fortræningspumpe</t>
  </si>
  <si>
    <t>Teltdug med skørt</t>
  </si>
  <si>
    <t>Gyllebeholder</t>
  </si>
  <si>
    <t>Priser</t>
  </si>
  <si>
    <t>Opbevaring af roer og majs</t>
  </si>
  <si>
    <t>ha./time</t>
  </si>
  <si>
    <t>kr/balle</t>
  </si>
  <si>
    <t>Optager kapacitet</t>
  </si>
  <si>
    <t>Storballepresser</t>
  </si>
  <si>
    <t>Rundballepresser (tør biomasse)</t>
  </si>
  <si>
    <t>Rundballepresser inkl. Wrap (Våd biomasse)</t>
  </si>
  <si>
    <t>Densitet, græsensilage</t>
  </si>
  <si>
    <t>Densitet, hele roer</t>
  </si>
  <si>
    <t>Densitet, majsensilage</t>
  </si>
  <si>
    <t>Roelæsser</t>
  </si>
  <si>
    <t>Læssekapacitet</t>
  </si>
  <si>
    <t>Læsse kapacitet roer</t>
  </si>
  <si>
    <t>Læssekapacitet i stald, dybstrøelse</t>
  </si>
  <si>
    <t>Læssekapacitet til lastbil, dybstrøelse</t>
  </si>
  <si>
    <t>pris</t>
  </si>
  <si>
    <t>min/ha</t>
  </si>
  <si>
    <t>Plansilo 3x50x16 meter</t>
  </si>
  <si>
    <t>Rumfang som roekule</t>
  </si>
  <si>
    <t>Etableringsomkostninger</t>
  </si>
  <si>
    <t>Etablering per kubikmeter</t>
  </si>
  <si>
    <t>Per kgTS</t>
  </si>
  <si>
    <t>Per ton roe</t>
  </si>
  <si>
    <t>Overdækning</t>
  </si>
  <si>
    <t>1390627 kr./2.116.800 kg</t>
  </si>
  <si>
    <t>samlede omkostninger</t>
  </si>
  <si>
    <t>1213987 kr./493900 kg</t>
  </si>
  <si>
    <t>1213987 kr./510300 kg</t>
  </si>
  <si>
    <t>Volumen per plansilo</t>
  </si>
  <si>
    <t>Densitet majsensilage</t>
  </si>
  <si>
    <t>Antal siloer</t>
  </si>
  <si>
    <t xml:space="preserve">Omkostning første plansilo </t>
  </si>
  <si>
    <t xml:space="preserve">Omkostning næste plansilo </t>
  </si>
  <si>
    <t>Plansilo 2</t>
  </si>
  <si>
    <t>Vådvægt majs</t>
  </si>
  <si>
    <t>Ton i alt</t>
  </si>
  <si>
    <t>Lemvig betaler 1 kr/foderenhed/kgTS for roepulp leveret dagligt i december</t>
  </si>
  <si>
    <t>Biogasudbytte per ha.</t>
  </si>
  <si>
    <t>Nm3/ha</t>
  </si>
  <si>
    <t>Kontroller formel gange eller dele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</si>
</sst>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kr.&quot;\ #,##0;[Red]&quot;kr.&quot;\ \-#,##0"/>
    <numFmt numFmtId="8" formatCode="&quot;kr.&quot;\ #,##0.00;[Red]&quot;kr.&quot;\ \-#,##0.00"/>
    <numFmt numFmtId="44" formatCode="_ &quot;kr.&quot;\ * #,##0.00_ ;_ &quot;kr.&quot;\ * \-#,##0.00_ ;_ &quot;kr.&quot;\ * &quot;-&quot;??_ ;_ @_ "/>
    <numFmt numFmtId="43" formatCode="_ * #,##0.00_ ;_ * \-#,##0.00_ ;_ * &quot;-&quot;??_ ;_ @_ "/>
    <numFmt numFmtId="164" formatCode="_ * #,##0_ ;_ * \-#,##0_ ;_ * &quot;-&quot;??_ ;_ @_ "/>
    <numFmt numFmtId="165" formatCode="_ * #,##0.0_ ;_ * \-#,##0.0_ ;_ * &quot;-&quot;??_ ;_ @_ "/>
    <numFmt numFmtId="166" formatCode="0.0%"/>
    <numFmt numFmtId="167" formatCode="0.0"/>
    <numFmt numFmtId="168" formatCode="_ [$kr.-406]\ * #,##0_ ;_ [$kr.-406]\ * \-#,##0_ ;_ [$kr.-406]\ * &quot;-&quot;??_ ;_ @_ "/>
    <numFmt numFmtId="169" formatCode="_ &quot;kr.&quot;\ * #,##0_ ;_ &quot;kr.&quot;\ * \-#,##0_ ;_ &quot;kr.&quot;\ * &quot;-&quot;??_ ;_ @_ "/>
    <numFmt numFmtId="170" formatCode="0.000"/>
    <numFmt numFmtId="171" formatCode="&quot;kr.&quot;\ #,##0.00"/>
  </numFmts>
  <fonts count="56" x14ac:knownFonts="1">
    <font>
      <sz val="11"/>
      <color theme="1"/>
      <name val="Calibri"/>
      <family val="2"/>
      <scheme val="minor"/>
    </font>
    <font>
      <sz val="11"/>
      <name val="Calibri"/>
      <family val="2"/>
    </font>
    <font>
      <sz val="11"/>
      <name val="Calibri"/>
      <family val="2"/>
    </font>
    <font>
      <sz val="11"/>
      <name val="Calibri"/>
      <family val="2"/>
    </font>
    <font>
      <sz val="11"/>
      <color theme="0"/>
      <name val="Calibri"/>
      <family val="2"/>
      <scheme val="minor"/>
    </font>
    <font>
      <b/>
      <i/>
      <sz val="11"/>
      <color theme="1"/>
      <name val="Calibri"/>
      <family val="2"/>
      <scheme val="minor"/>
    </font>
    <font>
      <sz val="11"/>
      <name val="Calibri"/>
      <family val="2"/>
      <scheme val="minor"/>
    </font>
    <font>
      <b/>
      <u/>
      <sz val="16"/>
      <color theme="1"/>
      <name val="Calibri"/>
      <family val="2"/>
      <scheme val="minor"/>
    </font>
    <font>
      <i/>
      <u/>
      <sz val="11"/>
      <color theme="1"/>
      <name val="Calibri"/>
      <family val="2"/>
      <scheme val="minor"/>
    </font>
    <font>
      <sz val="11"/>
      <color indexed="8"/>
      <name val="Calibri"/>
      <family val="2"/>
      <scheme val="minor"/>
    </font>
    <font>
      <b/>
      <sz val="16"/>
      <name val="Calibri"/>
      <family val="2"/>
      <scheme val="minor"/>
    </font>
    <font>
      <sz val="11"/>
      <color theme="1"/>
      <name val="Calibri"/>
      <family val="2"/>
      <scheme val="minor"/>
    </font>
    <font>
      <b/>
      <sz val="9"/>
      <color theme="0"/>
      <name val="Arial"/>
      <family val="2"/>
    </font>
    <font>
      <b/>
      <sz val="11"/>
      <color theme="1"/>
      <name val="Calibri"/>
      <family val="2"/>
      <scheme val="minor"/>
    </font>
    <font>
      <b/>
      <sz val="16"/>
      <color theme="1"/>
      <name val="Calibri"/>
      <family val="2"/>
      <scheme val="minor"/>
    </font>
    <font>
      <b/>
      <sz val="9"/>
      <color rgb="FF3F3F3F"/>
      <name val="Arial"/>
      <family val="2"/>
    </font>
    <font>
      <sz val="11"/>
      <color rgb="FF000000"/>
      <name val="Calibri"/>
      <family val="2"/>
    </font>
    <font>
      <sz val="8"/>
      <color rgb="FF000000"/>
      <name val="Tahoma"/>
      <family val="2"/>
    </font>
    <font>
      <u/>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4"/>
      <color theme="1"/>
      <name val="Calibri"/>
      <family val="2"/>
      <scheme val="minor"/>
    </font>
    <font>
      <i/>
      <u/>
      <sz val="12"/>
      <color theme="1"/>
      <name val="Calibri"/>
      <family val="2"/>
      <scheme val="minor"/>
    </font>
    <font>
      <sz val="11"/>
      <color rgb="FF3F3F76"/>
      <name val="Calibri"/>
      <family val="2"/>
      <scheme val="minor"/>
    </font>
    <font>
      <b/>
      <sz val="11"/>
      <color rgb="FFFA7D00"/>
      <name val="Calibri"/>
      <family val="2"/>
      <scheme val="minor"/>
    </font>
    <font>
      <sz val="11"/>
      <color theme="0" tint="-0.34998626667073579"/>
      <name val="Calibri"/>
      <family val="2"/>
      <scheme val="minor"/>
    </font>
    <font>
      <i/>
      <sz val="11"/>
      <color theme="1"/>
      <name val="Calibri"/>
      <family val="2"/>
      <scheme val="minor"/>
    </font>
    <font>
      <vertAlign val="superscript"/>
      <sz val="11"/>
      <color theme="1"/>
      <name val="Calibri"/>
      <family val="2"/>
      <scheme val="minor"/>
    </font>
    <font>
      <vertAlign val="subscript"/>
      <sz val="11"/>
      <name val="Calibri"/>
      <family val="2"/>
      <scheme val="minor"/>
    </font>
    <font>
      <b/>
      <sz val="11"/>
      <name val="Calibri"/>
      <family val="2"/>
      <scheme val="minor"/>
    </font>
    <font>
      <sz val="11"/>
      <color rgb="FF9C0006"/>
      <name val="Calibri"/>
      <family val="2"/>
      <scheme val="minor"/>
    </font>
    <font>
      <sz val="11"/>
      <color rgb="FFFF0000"/>
      <name val="Calibri"/>
      <family val="2"/>
      <scheme val="minor"/>
    </font>
    <font>
      <b/>
      <sz val="16"/>
      <color rgb="FFFF0000"/>
      <name val="Calibri"/>
      <family val="2"/>
      <scheme val="minor"/>
    </font>
    <font>
      <b/>
      <sz val="14"/>
      <color rgb="FF3F3F3F"/>
      <name val="Arial"/>
      <family val="2"/>
    </font>
    <font>
      <sz val="14"/>
      <color theme="1"/>
      <name val="Calibri"/>
      <family val="2"/>
      <scheme val="minor"/>
    </font>
    <font>
      <b/>
      <sz val="18"/>
      <color theme="1"/>
      <name val="Calibri"/>
      <family val="2"/>
      <scheme val="minor"/>
    </font>
    <font>
      <sz val="16"/>
      <color theme="1"/>
      <name val="Calibri"/>
      <family val="2"/>
      <scheme val="minor"/>
    </font>
    <font>
      <vertAlign val="superscript"/>
      <sz val="11"/>
      <color indexed="8"/>
      <name val="Calibri"/>
      <family val="2"/>
    </font>
    <font>
      <sz val="11"/>
      <color theme="3" tint="0.79998168889431442"/>
      <name val="Calibri"/>
      <family val="2"/>
      <scheme val="minor"/>
    </font>
    <font>
      <sz val="11"/>
      <color theme="0"/>
      <name val="Calibri"/>
      <family val="2"/>
    </font>
    <font>
      <b/>
      <vertAlign val="superscript"/>
      <sz val="11"/>
      <color theme="1"/>
      <name val="Calibri"/>
      <family val="2"/>
      <scheme val="minor"/>
    </font>
    <font>
      <sz val="11"/>
      <color theme="3" tint="0.59999389629810485"/>
      <name val="Calibri"/>
      <family val="2"/>
      <scheme val="minor"/>
    </font>
    <font>
      <sz val="11"/>
      <color rgb="FF3F3F3F"/>
      <name val="Calibri"/>
      <family val="2"/>
      <scheme val="minor"/>
    </font>
    <font>
      <i/>
      <sz val="11"/>
      <name val="Calibri"/>
      <family val="2"/>
      <scheme val="minor"/>
    </font>
    <font>
      <b/>
      <sz val="11"/>
      <color rgb="FF3F3F3F"/>
      <name val="Calibri"/>
      <family val="2"/>
      <scheme val="minor"/>
    </font>
    <font>
      <vertAlign val="superscript"/>
      <sz val="11"/>
      <name val="Calibri"/>
      <family val="2"/>
      <scheme val="minor"/>
    </font>
    <font>
      <b/>
      <i/>
      <sz val="11"/>
      <name val="Calibri"/>
      <family val="2"/>
      <scheme val="minor"/>
    </font>
    <font>
      <sz val="11"/>
      <color theme="0" tint="-0.14999847407452621"/>
      <name val="Calibri"/>
      <family val="2"/>
      <scheme val="minor"/>
    </font>
    <font>
      <u/>
      <sz val="11"/>
      <color theme="0" tint="-0.249977111117893"/>
      <name val="Calibri"/>
      <family val="2"/>
      <scheme val="minor"/>
    </font>
    <font>
      <sz val="11"/>
      <color theme="0" tint="-0.249977111117893"/>
      <name val="Calibri"/>
      <family val="2"/>
      <scheme val="minor"/>
    </font>
    <font>
      <vertAlign val="subscript"/>
      <sz val="11"/>
      <color theme="1"/>
      <name val="Calibri"/>
      <family val="2"/>
      <scheme val="minor"/>
    </font>
    <font>
      <vertAlign val="subscript"/>
      <sz val="11"/>
      <color theme="0" tint="-0.249977111117893"/>
      <name val="Calibri"/>
      <family val="2"/>
      <scheme val="minor"/>
    </font>
    <font>
      <vertAlign val="superscript"/>
      <sz val="11"/>
      <color theme="0" tint="-0.249977111117893"/>
      <name val="Calibri"/>
      <family val="2"/>
      <scheme val="minor"/>
    </font>
    <font>
      <b/>
      <sz val="11"/>
      <color theme="0" tint="-0.249977111117893"/>
      <name val="Calibri"/>
      <family val="2"/>
      <scheme val="minor"/>
    </font>
    <font>
      <u/>
      <sz val="11"/>
      <name val="Calibri"/>
      <family val="2"/>
      <scheme val="minor"/>
    </font>
  </fonts>
  <fills count="19">
    <fill>
      <patternFill patternType="none"/>
    </fill>
    <fill>
      <patternFill patternType="gray125"/>
    </fill>
    <fill>
      <patternFill patternType="solid">
        <fgColor rgb="FFA5A5A5"/>
      </patternFill>
    </fill>
    <fill>
      <patternFill patternType="solid">
        <fgColor theme="3" tint="0.79998168889431442"/>
        <bgColor indexed="64"/>
      </patternFill>
    </fill>
    <fill>
      <patternFill patternType="solid">
        <fgColor rgb="FFF2F2F2"/>
      </patternFill>
    </fill>
    <fill>
      <patternFill patternType="solid">
        <fgColor theme="9" tint="0.79998168889431442"/>
        <bgColor indexed="64"/>
      </patternFill>
    </fill>
    <fill>
      <patternFill patternType="solid">
        <fgColor theme="0"/>
        <bgColor indexed="64"/>
      </patternFill>
    </fill>
    <fill>
      <patternFill patternType="solid">
        <fgColor rgb="FFFFCC99"/>
      </patternFill>
    </fill>
    <fill>
      <patternFill patternType="solid">
        <fgColor theme="5"/>
      </patternFill>
    </fill>
    <fill>
      <patternFill patternType="solid">
        <fgColor theme="6"/>
      </patternFill>
    </fill>
    <fill>
      <patternFill patternType="solid">
        <fgColor theme="9" tint="0.39997558519241921"/>
        <bgColor indexed="64"/>
      </patternFill>
    </fill>
    <fill>
      <patternFill patternType="solid">
        <fgColor rgb="FF92D050"/>
        <bgColor indexed="64"/>
      </patternFill>
    </fill>
    <fill>
      <patternFill patternType="solid">
        <fgColor theme="9" tint="0.39997558519241921"/>
        <bgColor indexed="65"/>
      </patternFill>
    </fill>
    <fill>
      <patternFill patternType="solid">
        <fgColor rgb="FFFFFF00"/>
        <bgColor indexed="64"/>
      </patternFill>
    </fill>
    <fill>
      <patternFill patternType="solid">
        <fgColor rgb="FFFFC7CE"/>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C000"/>
        <bgColor indexed="64"/>
      </patternFill>
    </fill>
  </fills>
  <borders count="29">
    <border>
      <left/>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rgb="FF3F3F3F"/>
      </left>
      <right/>
      <top style="thin">
        <color rgb="FF3F3F3F"/>
      </top>
      <bottom style="thin">
        <color rgb="FF3F3F3F"/>
      </bottom>
      <diagonal/>
    </border>
    <border>
      <left style="thin">
        <color indexed="64"/>
      </left>
      <right/>
      <top style="thin">
        <color indexed="64"/>
      </top>
      <bottom style="thin">
        <color rgb="FF3F3F3F"/>
      </bottom>
      <diagonal/>
    </border>
    <border>
      <left style="thin">
        <color indexed="64"/>
      </left>
      <right/>
      <top style="thin">
        <color rgb="FF3F3F3F"/>
      </top>
      <bottom style="thin">
        <color rgb="FF3F3F3F"/>
      </bottom>
      <diagonal/>
    </border>
    <border>
      <left style="thin">
        <color indexed="64"/>
      </left>
      <right/>
      <top style="thin">
        <color rgb="FF3F3F3F"/>
      </top>
      <bottom style="thin">
        <color indexed="64"/>
      </bottom>
      <diagonal/>
    </border>
    <border>
      <left style="thin">
        <color rgb="FF3F3F3F"/>
      </left>
      <right/>
      <top style="thin">
        <color indexed="64"/>
      </top>
      <bottom style="thin">
        <color indexed="64"/>
      </bottom>
      <diagonal/>
    </border>
    <border>
      <left style="thin">
        <color indexed="64"/>
      </left>
      <right style="thin">
        <color rgb="FF3F3F3F"/>
      </right>
      <top/>
      <bottom/>
      <diagonal/>
    </border>
    <border>
      <left/>
      <right style="thin">
        <color rgb="FF3F3F3F"/>
      </right>
      <top/>
      <bottom/>
      <diagonal/>
    </border>
    <border>
      <left style="thin">
        <color rgb="FF3F3F3F"/>
      </left>
      <right/>
      <top style="thin">
        <color rgb="FF3F3F3F"/>
      </top>
      <bottom style="thin">
        <color indexed="64"/>
      </bottom>
      <diagonal/>
    </border>
    <border>
      <left/>
      <right/>
      <top style="thin">
        <color indexed="64"/>
      </top>
      <bottom style="double">
        <color indexed="64"/>
      </bottom>
      <diagonal/>
    </border>
    <border>
      <left style="thin">
        <color rgb="FF3F3F3F"/>
      </left>
      <right style="thin">
        <color rgb="FF3F3F3F"/>
      </right>
      <top/>
      <bottom style="thin">
        <color rgb="FF3F3F3F"/>
      </bottom>
      <diagonal/>
    </border>
  </borders>
  <cellStyleXfs count="13">
    <xf numFmtId="0" fontId="0" fillId="0" borderId="0"/>
    <xf numFmtId="43" fontId="11" fillId="0" borderId="0" applyFont="0" applyFill="0" applyBorder="0" applyAlignment="0" applyProtection="0"/>
    <xf numFmtId="0" fontId="40" fillId="2" borderId="1" applyNumberFormat="0" applyAlignment="0" applyProtection="0"/>
    <xf numFmtId="0" fontId="15" fillId="4" borderId="2" applyNumberFormat="0" applyAlignment="0" applyProtection="0"/>
    <xf numFmtId="9" fontId="11" fillId="0" borderId="0" applyFont="0" applyFill="0" applyBorder="0" applyAlignment="0" applyProtection="0"/>
    <xf numFmtId="0" fontId="24" fillId="7" borderId="9" applyNumberFormat="0" applyAlignment="0" applyProtection="0"/>
    <xf numFmtId="0" fontId="4" fillId="8" borderId="0" applyNumberFormat="0" applyBorder="0" applyAlignment="0" applyProtection="0"/>
    <xf numFmtId="0" fontId="4" fillId="9" borderId="0" applyNumberFormat="0" applyBorder="0" applyAlignment="0" applyProtection="0"/>
    <xf numFmtId="0" fontId="25" fillId="4" borderId="9" applyNumberFormat="0" applyAlignment="0" applyProtection="0"/>
    <xf numFmtId="0" fontId="4" fillId="12" borderId="0" applyNumberFormat="0" applyBorder="0" applyAlignment="0" applyProtection="0"/>
    <xf numFmtId="0" fontId="31" fillId="14" borderId="0" applyNumberFormat="0" applyBorder="0" applyAlignment="0" applyProtection="0"/>
    <xf numFmtId="44" fontId="11" fillId="0" borderId="0" applyFont="0" applyFill="0" applyBorder="0" applyAlignment="0" applyProtection="0"/>
    <xf numFmtId="0" fontId="3" fillId="3" borderId="10" applyNumberFormat="0" applyAlignment="0" applyProtection="0"/>
  </cellStyleXfs>
  <cellXfs count="425">
    <xf numFmtId="0" fontId="0" fillId="0" borderId="0" xfId="0"/>
    <xf numFmtId="0" fontId="5" fillId="0" borderId="0" xfId="0" applyFont="1"/>
    <xf numFmtId="0" fontId="6" fillId="0" borderId="0" xfId="0" applyFont="1"/>
    <xf numFmtId="0" fontId="7" fillId="0" borderId="0" xfId="0" applyFont="1"/>
    <xf numFmtId="0" fontId="10" fillId="3" borderId="0" xfId="0" applyFont="1" applyFill="1"/>
    <xf numFmtId="0" fontId="0" fillId="3" borderId="0" xfId="0" applyFill="1"/>
    <xf numFmtId="0" fontId="5" fillId="3" borderId="0" xfId="0" applyFont="1" applyFill="1"/>
    <xf numFmtId="0" fontId="40" fillId="2" borderId="1" xfId="2"/>
    <xf numFmtId="0" fontId="14" fillId="3" borderId="0" xfId="0" applyFont="1" applyFill="1" applyAlignment="1">
      <alignment wrapText="1"/>
    </xf>
    <xf numFmtId="0" fontId="0" fillId="3" borderId="0" xfId="0" applyFont="1" applyFill="1"/>
    <xf numFmtId="164" fontId="12" fillId="2" borderId="1" xfId="1" applyNumberFormat="1" applyFont="1" applyFill="1" applyBorder="1"/>
    <xf numFmtId="0" fontId="7" fillId="3" borderId="0" xfId="0" applyFont="1" applyFill="1"/>
    <xf numFmtId="0" fontId="8" fillId="3" borderId="0" xfId="0" applyFont="1" applyFill="1"/>
    <xf numFmtId="0" fontId="9" fillId="3" borderId="0" xfId="0" applyFont="1" applyFill="1"/>
    <xf numFmtId="0" fontId="4" fillId="3" borderId="0" xfId="0" applyFont="1" applyFill="1"/>
    <xf numFmtId="9" fontId="0" fillId="0" borderId="0" xfId="0" applyNumberFormat="1"/>
    <xf numFmtId="0" fontId="15" fillId="4" borderId="2" xfId="3"/>
    <xf numFmtId="0" fontId="40" fillId="2" borderId="1" xfId="2" applyAlignment="1">
      <alignment horizontal="right"/>
    </xf>
    <xf numFmtId="164" fontId="15" fillId="4" borderId="2" xfId="1" applyNumberFormat="1" applyFont="1" applyFill="1" applyBorder="1"/>
    <xf numFmtId="164" fontId="40" fillId="2" borderId="1" xfId="2" applyNumberFormat="1" applyAlignment="1">
      <alignment horizontal="right"/>
    </xf>
    <xf numFmtId="166" fontId="12" fillId="2" borderId="1" xfId="4" applyNumberFormat="1" applyFont="1" applyFill="1" applyBorder="1" applyAlignment="1">
      <alignment horizontal="right"/>
    </xf>
    <xf numFmtId="9" fontId="12" fillId="2" borderId="1" xfId="4" applyFont="1" applyFill="1" applyBorder="1" applyAlignment="1">
      <alignment horizontal="right"/>
    </xf>
    <xf numFmtId="0" fontId="0" fillId="3" borderId="0" xfId="0" applyFill="1" applyBorder="1"/>
    <xf numFmtId="0" fontId="0" fillId="3" borderId="3" xfId="0" applyFill="1" applyBorder="1"/>
    <xf numFmtId="1" fontId="0" fillId="3" borderId="0" xfId="0" applyNumberFormat="1" applyFill="1" applyBorder="1"/>
    <xf numFmtId="0" fontId="0" fillId="0" borderId="0" xfId="0" applyBorder="1"/>
    <xf numFmtId="0" fontId="0" fillId="0" borderId="0" xfId="0" applyFill="1" applyBorder="1"/>
    <xf numFmtId="0" fontId="14" fillId="3" borderId="0" xfId="0" applyFont="1" applyFill="1"/>
    <xf numFmtId="8" fontId="0" fillId="3" borderId="0" xfId="0" applyNumberFormat="1" applyFill="1"/>
    <xf numFmtId="164" fontId="0" fillId="3" borderId="0" xfId="0" applyNumberFormat="1" applyFill="1"/>
    <xf numFmtId="0" fontId="22" fillId="0" borderId="0" xfId="0" applyFont="1"/>
    <xf numFmtId="0" fontId="0" fillId="0" borderId="5" xfId="0" applyBorder="1"/>
    <xf numFmtId="0" fontId="0" fillId="0" borderId="5" xfId="0" applyBorder="1" applyAlignment="1">
      <alignment horizontal="center" vertical="center"/>
    </xf>
    <xf numFmtId="0" fontId="0" fillId="0" borderId="5" xfId="0" applyFill="1" applyBorder="1"/>
    <xf numFmtId="2" fontId="0" fillId="0" borderId="0" xfId="0" applyNumberFormat="1"/>
    <xf numFmtId="164" fontId="15" fillId="4" borderId="2" xfId="3" applyNumberFormat="1"/>
    <xf numFmtId="9" fontId="12" fillId="2" borderId="1" xfId="4" applyFont="1" applyFill="1" applyBorder="1"/>
    <xf numFmtId="0" fontId="18" fillId="3" borderId="0" xfId="0" applyFont="1" applyFill="1"/>
    <xf numFmtId="43" fontId="0" fillId="3" borderId="0" xfId="1" applyFont="1" applyFill="1" applyAlignment="1">
      <alignment horizontal="left"/>
    </xf>
    <xf numFmtId="0" fontId="23" fillId="3" borderId="0" xfId="0" applyFont="1" applyFill="1"/>
    <xf numFmtId="0" fontId="0" fillId="5" borderId="0" xfId="0" applyFill="1"/>
    <xf numFmtId="0" fontId="0" fillId="5" borderId="0" xfId="0" applyFill="1" applyAlignment="1">
      <alignment wrapText="1"/>
    </xf>
    <xf numFmtId="9" fontId="0" fillId="5" borderId="0" xfId="0" applyNumberFormat="1" applyFill="1"/>
    <xf numFmtId="0" fontId="0" fillId="3" borderId="0" xfId="0" applyFill="1" applyAlignment="1">
      <alignment horizontal="left"/>
    </xf>
    <xf numFmtId="164" fontId="40" fillId="2" borderId="1" xfId="2" applyNumberFormat="1"/>
    <xf numFmtId="0" fontId="0" fillId="0" borderId="0" xfId="0" applyFill="1"/>
    <xf numFmtId="0" fontId="0" fillId="5" borderId="0" xfId="0" applyFill="1" applyBorder="1"/>
    <xf numFmtId="0" fontId="0" fillId="5" borderId="3" xfId="0" applyFill="1" applyBorder="1"/>
    <xf numFmtId="164" fontId="0" fillId="5" borderId="0" xfId="1" applyNumberFormat="1" applyFont="1" applyFill="1" applyBorder="1"/>
    <xf numFmtId="1" fontId="0" fillId="5" borderId="0" xfId="0" applyNumberFormat="1" applyFill="1" applyBorder="1"/>
    <xf numFmtId="1" fontId="0" fillId="5" borderId="0" xfId="1" applyNumberFormat="1" applyFont="1" applyFill="1" applyBorder="1"/>
    <xf numFmtId="164" fontId="11" fillId="5" borderId="0" xfId="1" applyNumberFormat="1" applyFont="1" applyFill="1" applyBorder="1"/>
    <xf numFmtId="0" fontId="13" fillId="5" borderId="0" xfId="0" applyFont="1" applyFill="1" applyBorder="1"/>
    <xf numFmtId="167" fontId="0" fillId="5" borderId="0" xfId="0" applyNumberFormat="1" applyFill="1" applyBorder="1"/>
    <xf numFmtId="0" fontId="18" fillId="5" borderId="0" xfId="0" applyFont="1" applyFill="1" applyBorder="1"/>
    <xf numFmtId="0" fontId="0" fillId="5" borderId="0" xfId="0" applyFont="1" applyFill="1" applyBorder="1"/>
    <xf numFmtId="9" fontId="0" fillId="0" borderId="0" xfId="0" applyNumberFormat="1" applyFill="1"/>
    <xf numFmtId="164" fontId="0" fillId="0" borderId="0" xfId="0" applyNumberFormat="1"/>
    <xf numFmtId="6" fontId="0" fillId="0" borderId="0" xfId="0" applyNumberFormat="1"/>
    <xf numFmtId="0" fontId="40" fillId="11" borderId="1" xfId="2" applyFill="1"/>
    <xf numFmtId="0" fontId="5" fillId="10" borderId="0" xfId="0" applyFont="1" applyFill="1"/>
    <xf numFmtId="0" fontId="0" fillId="0" borderId="5" xfId="0" applyBorder="1" applyAlignment="1">
      <alignment horizontal="center" vertical="center"/>
    </xf>
    <xf numFmtId="164" fontId="0" fillId="3" borderId="0" xfId="1" applyNumberFormat="1" applyFont="1" applyFill="1"/>
    <xf numFmtId="0" fontId="27" fillId="3" borderId="0" xfId="0" applyFont="1" applyFill="1"/>
    <xf numFmtId="0" fontId="6" fillId="3" borderId="0" xfId="8" applyFont="1" applyFill="1" applyBorder="1"/>
    <xf numFmtId="166" fontId="12" fillId="3" borderId="0" xfId="4" applyNumberFormat="1" applyFont="1" applyFill="1" applyBorder="1" applyAlignment="1">
      <alignment horizontal="right"/>
    </xf>
    <xf numFmtId="9" fontId="0" fillId="0" borderId="0" xfId="4" applyFont="1"/>
    <xf numFmtId="0" fontId="33" fillId="3" borderId="0" xfId="0" applyFont="1" applyFill="1"/>
    <xf numFmtId="0" fontId="32" fillId="3" borderId="0" xfId="0" applyFont="1" applyFill="1"/>
    <xf numFmtId="167" fontId="0" fillId="3" borderId="0" xfId="0" applyNumberFormat="1" applyFill="1"/>
    <xf numFmtId="1" fontId="0" fillId="3" borderId="0" xfId="0" applyNumberFormat="1" applyFill="1"/>
    <xf numFmtId="168" fontId="0" fillId="3" borderId="0" xfId="0" applyNumberFormat="1" applyFill="1"/>
    <xf numFmtId="0" fontId="34" fillId="4" borderId="2" xfId="3" applyFont="1"/>
    <xf numFmtId="0" fontId="35" fillId="3" borderId="0" xfId="0" applyFont="1" applyFill="1"/>
    <xf numFmtId="37" fontId="0" fillId="3" borderId="0" xfId="0" applyNumberFormat="1" applyFill="1"/>
    <xf numFmtId="169" fontId="6" fillId="3" borderId="0" xfId="11" applyNumberFormat="1" applyFont="1" applyFill="1"/>
    <xf numFmtId="169" fontId="0" fillId="3" borderId="0" xfId="11" applyNumberFormat="1" applyFont="1" applyFill="1"/>
    <xf numFmtId="164" fontId="6" fillId="3" borderId="0" xfId="7" applyNumberFormat="1" applyFont="1" applyFill="1"/>
    <xf numFmtId="0" fontId="0" fillId="3" borderId="0" xfId="0" applyNumberFormat="1" applyFill="1"/>
    <xf numFmtId="0" fontId="27" fillId="3" borderId="0" xfId="0" applyNumberFormat="1" applyFont="1" applyFill="1"/>
    <xf numFmtId="0" fontId="0" fillId="0" borderId="0" xfId="0" applyFill="1" applyBorder="1" applyAlignment="1">
      <alignment horizontal="left" indent="1"/>
    </xf>
    <xf numFmtId="0" fontId="36" fillId="0" borderId="0" xfId="0" applyFont="1" applyFill="1" applyBorder="1"/>
    <xf numFmtId="0" fontId="37" fillId="0" borderId="0" xfId="0" applyFont="1" applyFill="1" applyBorder="1"/>
    <xf numFmtId="0" fontId="0" fillId="0" borderId="0" xfId="0" applyFont="1" applyFill="1" applyBorder="1"/>
    <xf numFmtId="0" fontId="13" fillId="0" borderId="0" xfId="0" applyFont="1" applyFill="1" applyBorder="1"/>
    <xf numFmtId="3" fontId="0" fillId="0" borderId="0" xfId="0" applyNumberFormat="1" applyFill="1" applyBorder="1"/>
    <xf numFmtId="167" fontId="0" fillId="0" borderId="0" xfId="0" applyNumberFormat="1" applyFill="1" applyBorder="1"/>
    <xf numFmtId="3" fontId="13" fillId="0" borderId="0" xfId="0" applyNumberFormat="1" applyFont="1" applyFill="1" applyBorder="1"/>
    <xf numFmtId="0" fontId="13" fillId="0" borderId="0" xfId="0" applyFont="1" applyFill="1" applyBorder="1" applyAlignment="1">
      <alignment horizontal="left" indent="1"/>
    </xf>
    <xf numFmtId="4" fontId="0" fillId="0" borderId="0" xfId="0" applyNumberFormat="1" applyFill="1" applyBorder="1"/>
    <xf numFmtId="0" fontId="5" fillId="3" borderId="0" xfId="0" applyNumberFormat="1" applyFont="1" applyFill="1"/>
    <xf numFmtId="0" fontId="0" fillId="3" borderId="4" xfId="0" applyFill="1" applyBorder="1"/>
    <xf numFmtId="1" fontId="0" fillId="3" borderId="4" xfId="0" applyNumberFormat="1" applyFill="1" applyBorder="1"/>
    <xf numFmtId="37" fontId="3" fillId="3" borderId="0" xfId="12" applyNumberFormat="1" applyFill="1" applyBorder="1"/>
    <xf numFmtId="0" fontId="3" fillId="3" borderId="0" xfId="12" applyFill="1" applyBorder="1"/>
    <xf numFmtId="167" fontId="3" fillId="3" borderId="0" xfId="12" applyNumberFormat="1" applyFill="1" applyBorder="1"/>
    <xf numFmtId="2" fontId="3" fillId="3" borderId="0" xfId="12" applyNumberFormat="1" applyFill="1" applyBorder="1"/>
    <xf numFmtId="0" fontId="6" fillId="3" borderId="0" xfId="0" applyFont="1" applyFill="1" applyBorder="1"/>
    <xf numFmtId="0" fontId="6" fillId="3" borderId="0" xfId="0" applyFont="1" applyFill="1"/>
    <xf numFmtId="0" fontId="3" fillId="3" borderId="0" xfId="2" applyFont="1" applyFill="1" applyBorder="1"/>
    <xf numFmtId="1" fontId="3" fillId="3" borderId="0" xfId="12" applyNumberFormat="1" applyFill="1" applyBorder="1"/>
    <xf numFmtId="0" fontId="3" fillId="6" borderId="5" xfId="2" applyFont="1" applyFill="1" applyBorder="1"/>
    <xf numFmtId="37" fontId="3" fillId="6" borderId="5" xfId="2" applyNumberFormat="1" applyFont="1" applyFill="1" applyBorder="1"/>
    <xf numFmtId="9" fontId="3" fillId="6" borderId="5" xfId="2" applyNumberFormat="1" applyFont="1" applyFill="1" applyBorder="1"/>
    <xf numFmtId="2" fontId="3" fillId="3" borderId="0" xfId="2" applyNumberFormat="1" applyFont="1" applyFill="1" applyBorder="1"/>
    <xf numFmtId="1" fontId="6" fillId="3" borderId="0" xfId="4" applyNumberFormat="1" applyFont="1" applyFill="1" applyBorder="1" applyProtection="1">
      <protection locked="0"/>
    </xf>
    <xf numFmtId="1" fontId="3" fillId="3" borderId="0" xfId="2" applyNumberFormat="1" applyFont="1" applyFill="1" applyBorder="1"/>
    <xf numFmtId="37" fontId="0" fillId="3" borderId="4" xfId="0" applyNumberFormat="1" applyFill="1" applyBorder="1" applyProtection="1">
      <protection locked="0"/>
    </xf>
    <xf numFmtId="37" fontId="0" fillId="3" borderId="4" xfId="0" applyNumberFormat="1" applyFill="1" applyBorder="1"/>
    <xf numFmtId="37" fontId="0" fillId="3" borderId="0" xfId="0" applyNumberFormat="1" applyFill="1" applyBorder="1" applyProtection="1">
      <protection locked="0"/>
    </xf>
    <xf numFmtId="164" fontId="6" fillId="3" borderId="0" xfId="1" applyNumberFormat="1" applyFont="1" applyFill="1" applyBorder="1" applyAlignment="1">
      <alignment horizontal="right"/>
    </xf>
    <xf numFmtId="37" fontId="3" fillId="3" borderId="0" xfId="2" applyNumberFormat="1" applyFont="1" applyFill="1" applyBorder="1" applyAlignment="1">
      <alignment horizontal="left"/>
    </xf>
    <xf numFmtId="0" fontId="6" fillId="3" borderId="0" xfId="5" applyFont="1" applyFill="1" applyBorder="1" applyAlignment="1">
      <alignment horizontal="left"/>
    </xf>
    <xf numFmtId="37" fontId="3" fillId="3" borderId="0" xfId="12" applyNumberFormat="1" applyFont="1" applyFill="1" applyBorder="1" applyAlignment="1">
      <alignment horizontal="left"/>
    </xf>
    <xf numFmtId="9" fontId="3" fillId="3" borderId="0" xfId="2" applyNumberFormat="1" applyFont="1" applyFill="1" applyBorder="1" applyAlignment="1">
      <alignment horizontal="left"/>
    </xf>
    <xf numFmtId="0" fontId="6" fillId="3" borderId="0" xfId="0" applyFont="1" applyFill="1" applyBorder="1" applyAlignment="1">
      <alignment horizontal="left"/>
    </xf>
    <xf numFmtId="1" fontId="6" fillId="3" borderId="0" xfId="4" applyNumberFormat="1" applyFont="1" applyFill="1" applyBorder="1" applyAlignment="1">
      <alignment horizontal="left"/>
    </xf>
    <xf numFmtId="0" fontId="6" fillId="3" borderId="0" xfId="0" applyFont="1" applyFill="1" applyAlignment="1">
      <alignment horizontal="left"/>
    </xf>
    <xf numFmtId="0" fontId="3" fillId="3" borderId="0" xfId="12" applyFont="1" applyFill="1" applyBorder="1" applyAlignment="1">
      <alignment horizontal="left"/>
    </xf>
    <xf numFmtId="0" fontId="3" fillId="3" borderId="0" xfId="2" applyFont="1" applyFill="1" applyBorder="1" applyAlignment="1">
      <alignment horizontal="left"/>
    </xf>
    <xf numFmtId="167" fontId="3" fillId="3" borderId="0" xfId="12" applyNumberFormat="1" applyFont="1" applyFill="1" applyBorder="1" applyAlignment="1">
      <alignment horizontal="left"/>
    </xf>
    <xf numFmtId="0" fontId="0" fillId="3" borderId="0" xfId="0" applyFill="1" applyBorder="1" applyAlignment="1">
      <alignment horizontal="left"/>
    </xf>
    <xf numFmtId="0" fontId="3" fillId="3" borderId="0" xfId="12" applyFill="1" applyBorder="1" applyAlignment="1">
      <alignment horizontal="left"/>
    </xf>
    <xf numFmtId="1" fontId="3" fillId="3" borderId="0" xfId="12" applyNumberFormat="1" applyFill="1" applyBorder="1" applyAlignment="1">
      <alignment horizontal="left"/>
    </xf>
    <xf numFmtId="0" fontId="0" fillId="3" borderId="0" xfId="0" applyFill="1" applyAlignment="1"/>
    <xf numFmtId="164" fontId="6" fillId="3" borderId="0" xfId="1" applyNumberFormat="1" applyFont="1" applyFill="1" applyBorder="1" applyAlignment="1"/>
    <xf numFmtId="166" fontId="12" fillId="3" borderId="0" xfId="4" applyNumberFormat="1" applyFont="1" applyFill="1" applyBorder="1" applyAlignment="1"/>
    <xf numFmtId="0" fontId="13" fillId="3" borderId="0" xfId="0" applyFont="1" applyFill="1"/>
    <xf numFmtId="0" fontId="0" fillId="3" borderId="11" xfId="0" applyFill="1" applyBorder="1"/>
    <xf numFmtId="0" fontId="0" fillId="3" borderId="12" xfId="0" applyFill="1" applyBorder="1"/>
    <xf numFmtId="1" fontId="0" fillId="3" borderId="12" xfId="0" applyNumberFormat="1" applyFill="1" applyBorder="1"/>
    <xf numFmtId="0" fontId="0" fillId="3" borderId="13" xfId="0" applyFill="1" applyBorder="1"/>
    <xf numFmtId="0" fontId="0" fillId="3" borderId="14" xfId="0" applyFill="1" applyBorder="1"/>
    <xf numFmtId="0" fontId="0" fillId="3" borderId="15" xfId="0" applyFill="1" applyBorder="1"/>
    <xf numFmtId="0" fontId="5" fillId="3" borderId="0" xfId="0" applyFont="1" applyFill="1" applyBorder="1"/>
    <xf numFmtId="0" fontId="13" fillId="3" borderId="0" xfId="0" applyFont="1" applyFill="1" applyBorder="1" applyAlignment="1">
      <alignment horizontal="center"/>
    </xf>
    <xf numFmtId="9" fontId="0" fillId="3" borderId="0" xfId="4" applyFont="1" applyFill="1" applyBorder="1"/>
    <xf numFmtId="0" fontId="0" fillId="3" borderId="0" xfId="0" applyNumberFormat="1" applyFill="1" applyBorder="1"/>
    <xf numFmtId="9" fontId="39" fillId="3" borderId="0" xfId="0" applyNumberFormat="1" applyFont="1" applyFill="1" applyBorder="1"/>
    <xf numFmtId="0" fontId="0" fillId="3" borderId="16" xfId="0" applyFill="1" applyBorder="1"/>
    <xf numFmtId="0" fontId="0" fillId="3" borderId="3" xfId="0" applyNumberFormat="1" applyFill="1" applyBorder="1"/>
    <xf numFmtId="0" fontId="0" fillId="3" borderId="17" xfId="0" applyFill="1" applyBorder="1"/>
    <xf numFmtId="0" fontId="0" fillId="3" borderId="12" xfId="0" applyNumberFormat="1" applyFill="1" applyBorder="1"/>
    <xf numFmtId="37" fontId="0" fillId="3" borderId="0" xfId="0" applyNumberFormat="1" applyFill="1" applyBorder="1"/>
    <xf numFmtId="9" fontId="39" fillId="3" borderId="0" xfId="4" applyFont="1" applyFill="1" applyBorder="1"/>
    <xf numFmtId="38" fontId="0" fillId="3" borderId="0" xfId="0" applyNumberFormat="1" applyFill="1"/>
    <xf numFmtId="37" fontId="0" fillId="3" borderId="0" xfId="4" applyNumberFormat="1" applyFont="1" applyFill="1" applyBorder="1"/>
    <xf numFmtId="37" fontId="0" fillId="3" borderId="3" xfId="0" applyNumberFormat="1" applyFill="1" applyBorder="1"/>
    <xf numFmtId="37" fontId="0" fillId="3" borderId="12" xfId="0" applyNumberFormat="1" applyFill="1" applyBorder="1"/>
    <xf numFmtId="37" fontId="0" fillId="6" borderId="5" xfId="4" applyNumberFormat="1" applyFont="1" applyFill="1" applyBorder="1"/>
    <xf numFmtId="37" fontId="0" fillId="3" borderId="0" xfId="0" applyNumberFormat="1" applyFont="1" applyFill="1" applyBorder="1"/>
    <xf numFmtId="37" fontId="0" fillId="6" borderId="5" xfId="0" applyNumberFormat="1" applyFill="1" applyBorder="1"/>
    <xf numFmtId="0" fontId="6" fillId="15" borderId="0" xfId="0" applyFont="1" applyFill="1" applyBorder="1"/>
    <xf numFmtId="0" fontId="6" fillId="15" borderId="0" xfId="2" applyFont="1" applyFill="1" applyBorder="1"/>
    <xf numFmtId="167" fontId="6" fillId="15" borderId="0" xfId="2" applyNumberFormat="1" applyFont="1" applyFill="1" applyBorder="1"/>
    <xf numFmtId="164" fontId="6" fillId="15" borderId="0" xfId="1" applyNumberFormat="1" applyFont="1" applyFill="1" applyBorder="1" applyAlignment="1">
      <alignment horizontal="right"/>
    </xf>
    <xf numFmtId="37" fontId="0" fillId="3" borderId="5" xfId="4" applyNumberFormat="1" applyFont="1" applyFill="1" applyBorder="1"/>
    <xf numFmtId="37" fontId="0" fillId="3" borderId="5" xfId="0" applyNumberFormat="1" applyFill="1" applyBorder="1"/>
    <xf numFmtId="0" fontId="0" fillId="15" borderId="12" xfId="0" applyFill="1" applyBorder="1"/>
    <xf numFmtId="0" fontId="0" fillId="15" borderId="13" xfId="0" applyFill="1" applyBorder="1"/>
    <xf numFmtId="0" fontId="0" fillId="15" borderId="0" xfId="0" applyFill="1" applyBorder="1"/>
    <xf numFmtId="0" fontId="0" fillId="15" borderId="15" xfId="0" applyFill="1" applyBorder="1"/>
    <xf numFmtId="0" fontId="5" fillId="15" borderId="0" xfId="0" applyFont="1" applyFill="1" applyBorder="1"/>
    <xf numFmtId="0" fontId="13" fillId="15" borderId="0" xfId="0" applyFont="1" applyFill="1" applyBorder="1" applyAlignment="1">
      <alignment horizontal="center"/>
    </xf>
    <xf numFmtId="37" fontId="0" fillId="15" borderId="0" xfId="4" applyNumberFormat="1" applyFont="1" applyFill="1" applyBorder="1"/>
    <xf numFmtId="37" fontId="0" fillId="15" borderId="0" xfId="0" applyNumberFormat="1" applyFill="1" applyBorder="1"/>
    <xf numFmtId="37" fontId="0" fillId="15" borderId="0" xfId="0" applyNumberFormat="1" applyFont="1" applyFill="1" applyBorder="1"/>
    <xf numFmtId="9" fontId="0" fillId="15" borderId="0" xfId="4" applyFont="1" applyFill="1" applyBorder="1"/>
    <xf numFmtId="1" fontId="0" fillId="15" borderId="0" xfId="0" applyNumberFormat="1" applyFill="1" applyBorder="1"/>
    <xf numFmtId="37" fontId="0" fillId="15" borderId="0" xfId="0" applyNumberFormat="1" applyFill="1" applyBorder="1" applyProtection="1">
      <protection locked="0"/>
    </xf>
    <xf numFmtId="0" fontId="0" fillId="15" borderId="4" xfId="0" applyFill="1" applyBorder="1"/>
    <xf numFmtId="37" fontId="0" fillId="15" borderId="4" xfId="0" applyNumberFormat="1" applyFill="1" applyBorder="1"/>
    <xf numFmtId="37" fontId="0" fillId="15" borderId="4" xfId="0" applyNumberFormat="1" applyFill="1" applyBorder="1" applyProtection="1">
      <protection locked="0"/>
    </xf>
    <xf numFmtId="0" fontId="0" fillId="15" borderId="3" xfId="0" applyFill="1" applyBorder="1"/>
    <xf numFmtId="37" fontId="0" fillId="15" borderId="3" xfId="0" applyNumberFormat="1" applyFill="1" applyBorder="1"/>
    <xf numFmtId="0" fontId="0" fillId="15" borderId="3" xfId="0" applyNumberFormat="1" applyFill="1" applyBorder="1"/>
    <xf numFmtId="0" fontId="0" fillId="15" borderId="17" xfId="0" applyFill="1" applyBorder="1"/>
    <xf numFmtId="0" fontId="0" fillId="15" borderId="11" xfId="0" applyFill="1" applyBorder="1"/>
    <xf numFmtId="0" fontId="6" fillId="15" borderId="12" xfId="0" applyFont="1" applyFill="1" applyBorder="1"/>
    <xf numFmtId="0" fontId="6" fillId="15" borderId="12" xfId="0" applyFont="1" applyFill="1" applyBorder="1" applyAlignment="1">
      <alignment horizontal="left"/>
    </xf>
    <xf numFmtId="0" fontId="5" fillId="15" borderId="14" xfId="0" applyFont="1" applyFill="1" applyBorder="1"/>
    <xf numFmtId="0" fontId="0" fillId="15" borderId="14" xfId="0" applyFill="1" applyBorder="1"/>
    <xf numFmtId="0" fontId="0" fillId="15" borderId="18" xfId="0" applyFill="1" applyBorder="1"/>
    <xf numFmtId="0" fontId="0" fillId="15" borderId="16" xfId="0" applyFill="1" applyBorder="1"/>
    <xf numFmtId="0" fontId="5" fillId="3" borderId="14" xfId="0" applyFont="1" applyFill="1" applyBorder="1"/>
    <xf numFmtId="0" fontId="0" fillId="15" borderId="13" xfId="0" applyFill="1" applyBorder="1" applyAlignment="1">
      <alignment horizontal="left"/>
    </xf>
    <xf numFmtId="0" fontId="0" fillId="15" borderId="15" xfId="0" applyFill="1" applyBorder="1" applyAlignment="1">
      <alignment horizontal="left"/>
    </xf>
    <xf numFmtId="0" fontId="6" fillId="15" borderId="15" xfId="0" applyFont="1" applyFill="1" applyBorder="1" applyAlignment="1">
      <alignment horizontal="left"/>
    </xf>
    <xf numFmtId="0" fontId="6" fillId="15" borderId="15" xfId="2" applyFont="1" applyFill="1" applyBorder="1" applyAlignment="1">
      <alignment horizontal="left"/>
    </xf>
    <xf numFmtId="0" fontId="0" fillId="15" borderId="0" xfId="0" applyFont="1" applyFill="1" applyBorder="1"/>
    <xf numFmtId="0" fontId="0" fillId="15" borderId="14" xfId="0" applyFont="1" applyFill="1" applyBorder="1"/>
    <xf numFmtId="167" fontId="6" fillId="15" borderId="15" xfId="2" applyNumberFormat="1" applyFont="1" applyFill="1" applyBorder="1" applyAlignment="1">
      <alignment horizontal="left"/>
    </xf>
    <xf numFmtId="164" fontId="0" fillId="15" borderId="0" xfId="0" applyNumberFormat="1" applyFill="1" applyBorder="1"/>
    <xf numFmtId="164" fontId="6" fillId="15" borderId="15" xfId="1" applyNumberFormat="1" applyFont="1" applyFill="1" applyBorder="1" applyAlignment="1">
      <alignment horizontal="left"/>
    </xf>
    <xf numFmtId="164" fontId="5" fillId="15" borderId="0" xfId="0" applyNumberFormat="1" applyFont="1" applyFill="1" applyBorder="1"/>
    <xf numFmtId="164" fontId="0" fillId="15" borderId="0" xfId="0" applyNumberFormat="1" applyFont="1" applyFill="1" applyBorder="1"/>
    <xf numFmtId="0" fontId="0" fillId="15" borderId="16" xfId="0" applyFont="1" applyFill="1" applyBorder="1"/>
    <xf numFmtId="0" fontId="0" fillId="15" borderId="3" xfId="0" applyFont="1" applyFill="1" applyBorder="1"/>
    <xf numFmtId="1" fontId="6" fillId="15" borderId="3" xfId="2" applyNumberFormat="1" applyFont="1" applyFill="1" applyBorder="1"/>
    <xf numFmtId="1" fontId="6" fillId="15" borderId="17" xfId="2" applyNumberFormat="1" applyFont="1" applyFill="1" applyBorder="1" applyAlignment="1">
      <alignment horizontal="left"/>
    </xf>
    <xf numFmtId="0" fontId="6" fillId="3" borderId="5" xfId="2" applyFont="1" applyFill="1" applyBorder="1"/>
    <xf numFmtId="0" fontId="6" fillId="3" borderId="5" xfId="0" applyFont="1" applyFill="1" applyBorder="1"/>
    <xf numFmtId="9" fontId="42" fillId="15" borderId="0" xfId="0" applyNumberFormat="1" applyFont="1" applyFill="1" applyBorder="1"/>
    <xf numFmtId="164" fontId="0" fillId="3" borderId="0" xfId="0" applyNumberFormat="1" applyFill="1" applyAlignment="1">
      <alignment horizontal="left"/>
    </xf>
    <xf numFmtId="0" fontId="0" fillId="3" borderId="12" xfId="0" applyFill="1" applyBorder="1" applyAlignment="1">
      <alignment horizontal="left"/>
    </xf>
    <xf numFmtId="37" fontId="0" fillId="3" borderId="0" xfId="0" applyNumberFormat="1" applyFill="1" applyBorder="1" applyAlignment="1">
      <alignment horizontal="left"/>
    </xf>
    <xf numFmtId="37" fontId="0" fillId="3" borderId="4" xfId="0" applyNumberFormat="1" applyFill="1" applyBorder="1" applyAlignment="1">
      <alignment horizontal="left"/>
    </xf>
    <xf numFmtId="37" fontId="0" fillId="3" borderId="3" xfId="0" applyNumberFormat="1" applyFill="1" applyBorder="1" applyAlignment="1">
      <alignment horizontal="left"/>
    </xf>
    <xf numFmtId="37" fontId="0" fillId="3" borderId="0" xfId="0" applyNumberFormat="1" applyFill="1" applyAlignment="1">
      <alignment horizontal="left"/>
    </xf>
    <xf numFmtId="37" fontId="0" fillId="3" borderId="12" xfId="0" applyNumberFormat="1"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left"/>
    </xf>
    <xf numFmtId="2" fontId="2" fillId="3" borderId="0" xfId="12" applyNumberFormat="1" applyFont="1" applyFill="1" applyBorder="1" applyAlignment="1">
      <alignment horizontal="left"/>
    </xf>
    <xf numFmtId="0" fontId="34" fillId="4" borderId="19" xfId="3" applyFont="1" applyBorder="1"/>
    <xf numFmtId="0" fontId="35" fillId="3" borderId="24" xfId="0" applyFont="1" applyFill="1" applyBorder="1"/>
    <xf numFmtId="0" fontId="6" fillId="16" borderId="13" xfId="0" applyFont="1" applyFill="1" applyBorder="1"/>
    <xf numFmtId="0" fontId="6" fillId="16" borderId="7" xfId="0" applyFont="1" applyFill="1" applyBorder="1"/>
    <xf numFmtId="0" fontId="11" fillId="3" borderId="0" xfId="0" applyFont="1" applyFill="1"/>
    <xf numFmtId="0" fontId="11" fillId="3" borderId="3" xfId="0" applyFont="1" applyFill="1" applyBorder="1"/>
    <xf numFmtId="0" fontId="11" fillId="3" borderId="25" xfId="0" applyFont="1" applyFill="1" applyBorder="1"/>
    <xf numFmtId="0" fontId="11" fillId="3" borderId="0" xfId="0" applyFont="1" applyFill="1" applyBorder="1"/>
    <xf numFmtId="0" fontId="11" fillId="3" borderId="24" xfId="0" applyFont="1" applyFill="1" applyBorder="1"/>
    <xf numFmtId="164" fontId="6" fillId="16" borderId="19" xfId="9" applyNumberFormat="1" applyFont="1" applyFill="1" applyBorder="1"/>
    <xf numFmtId="0" fontId="43" fillId="16" borderId="19" xfId="3" applyFont="1" applyFill="1" applyBorder="1"/>
    <xf numFmtId="164" fontId="43" fillId="16" borderId="20" xfId="1" applyNumberFormat="1" applyFont="1" applyFill="1" applyBorder="1"/>
    <xf numFmtId="0" fontId="11" fillId="16" borderId="7" xfId="0" applyFont="1" applyFill="1" applyBorder="1"/>
    <xf numFmtId="0" fontId="43" fillId="16" borderId="2" xfId="3" applyFont="1" applyFill="1"/>
    <xf numFmtId="164" fontId="43" fillId="16" borderId="19" xfId="1" applyNumberFormat="1" applyFont="1" applyFill="1" applyBorder="1"/>
    <xf numFmtId="164" fontId="43" fillId="16" borderId="21" xfId="1" applyNumberFormat="1" applyFont="1" applyFill="1" applyBorder="1"/>
    <xf numFmtId="0" fontId="11" fillId="16" borderId="15" xfId="0" applyFont="1" applyFill="1" applyBorder="1"/>
    <xf numFmtId="0" fontId="11" fillId="16" borderId="13" xfId="0" applyFont="1" applyFill="1" applyBorder="1"/>
    <xf numFmtId="0" fontId="11" fillId="16" borderId="17" xfId="0" applyFont="1" applyFill="1" applyBorder="1"/>
    <xf numFmtId="0" fontId="11" fillId="3" borderId="8" xfId="0" applyFont="1" applyFill="1" applyBorder="1"/>
    <xf numFmtId="49" fontId="43" fillId="16" borderId="2" xfId="3" applyNumberFormat="1" applyFont="1" applyFill="1"/>
    <xf numFmtId="0" fontId="0" fillId="0" borderId="0" xfId="0" applyFont="1"/>
    <xf numFmtId="0" fontId="0" fillId="13" borderId="0" xfId="0" applyFont="1" applyFill="1"/>
    <xf numFmtId="1" fontId="0" fillId="0" borderId="0" xfId="0" applyNumberFormat="1" applyFont="1"/>
    <xf numFmtId="9" fontId="0" fillId="13" borderId="0" xfId="0" applyNumberFormat="1" applyFont="1" applyFill="1"/>
    <xf numFmtId="2" fontId="0" fillId="0" borderId="0" xfId="0" applyNumberFormat="1" applyFont="1"/>
    <xf numFmtId="0" fontId="21" fillId="0" borderId="0" xfId="0" applyFont="1"/>
    <xf numFmtId="164" fontId="6" fillId="0" borderId="0" xfId="1" applyNumberFormat="1" applyFont="1" applyFill="1" applyBorder="1" applyAlignment="1">
      <alignment horizontal="right"/>
    </xf>
    <xf numFmtId="166" fontId="6" fillId="0" borderId="0" xfId="4" applyNumberFormat="1" applyFont="1" applyFill="1" applyBorder="1" applyAlignment="1">
      <alignment horizontal="right"/>
    </xf>
    <xf numFmtId="164" fontId="44" fillId="0" borderId="0" xfId="1" applyNumberFormat="1" applyFont="1" applyFill="1" applyBorder="1"/>
    <xf numFmtId="0" fontId="45" fillId="6" borderId="2" xfId="3" applyFont="1" applyFill="1"/>
    <xf numFmtId="164" fontId="45" fillId="6" borderId="19" xfId="3" applyNumberFormat="1" applyFont="1" applyFill="1" applyBorder="1"/>
    <xf numFmtId="0" fontId="13" fillId="6" borderId="7" xfId="0" applyFont="1" applyFill="1" applyBorder="1"/>
    <xf numFmtId="0" fontId="45" fillId="16" borderId="19" xfId="3" applyFont="1" applyFill="1" applyBorder="1"/>
    <xf numFmtId="164" fontId="45" fillId="16" borderId="22" xfId="1" applyNumberFormat="1" applyFont="1" applyFill="1" applyBorder="1"/>
    <xf numFmtId="0" fontId="13" fillId="16" borderId="7" xfId="0" applyFont="1" applyFill="1" applyBorder="1"/>
    <xf numFmtId="164" fontId="45" fillId="16" borderId="19" xfId="1" applyNumberFormat="1" applyFont="1" applyFill="1" applyBorder="1"/>
    <xf numFmtId="0" fontId="30" fillId="16" borderId="7" xfId="0" applyFont="1" applyFill="1" applyBorder="1"/>
    <xf numFmtId="0" fontId="45" fillId="16" borderId="2" xfId="3" applyFont="1" applyFill="1"/>
    <xf numFmtId="164" fontId="45" fillId="16" borderId="26" xfId="1" applyNumberFormat="1" applyFont="1" applyFill="1" applyBorder="1"/>
    <xf numFmtId="164" fontId="13" fillId="3" borderId="0" xfId="1" applyNumberFormat="1" applyFont="1" applyFill="1"/>
    <xf numFmtId="37" fontId="13" fillId="3" borderId="0" xfId="0" applyNumberFormat="1" applyFont="1" applyFill="1"/>
    <xf numFmtId="0" fontId="6" fillId="3" borderId="0" xfId="2" applyFont="1" applyFill="1" applyBorder="1"/>
    <xf numFmtId="164" fontId="6" fillId="3" borderId="0" xfId="1" applyNumberFormat="1" applyFont="1" applyFill="1" applyBorder="1"/>
    <xf numFmtId="164" fontId="6" fillId="3" borderId="0" xfId="1" applyNumberFormat="1" applyFont="1" applyFill="1" applyBorder="1" applyAlignment="1">
      <alignment horizontal="left"/>
    </xf>
    <xf numFmtId="0" fontId="1" fillId="3" borderId="0" xfId="2" applyFont="1" applyFill="1" applyBorder="1" applyAlignment="1">
      <alignment horizontal="right"/>
    </xf>
    <xf numFmtId="0" fontId="1" fillId="3" borderId="0" xfId="2" applyFont="1" applyFill="1" applyBorder="1" applyAlignment="1">
      <alignment horizontal="left"/>
    </xf>
    <xf numFmtId="0" fontId="6" fillId="6" borderId="6" xfId="2" applyFont="1" applyFill="1" applyBorder="1"/>
    <xf numFmtId="0" fontId="6" fillId="6" borderId="7" xfId="0" applyFont="1" applyFill="1" applyBorder="1" applyAlignment="1">
      <alignment horizontal="left"/>
    </xf>
    <xf numFmtId="0" fontId="0" fillId="3" borderId="0" xfId="0" applyFill="1" applyAlignment="1">
      <alignment horizontal="right"/>
    </xf>
    <xf numFmtId="164" fontId="6" fillId="6" borderId="6" xfId="1" applyNumberFormat="1" applyFont="1" applyFill="1" applyBorder="1" applyAlignment="1">
      <alignment horizontal="right"/>
    </xf>
    <xf numFmtId="1" fontId="6" fillId="6" borderId="6" xfId="2" applyNumberFormat="1" applyFont="1" applyFill="1" applyBorder="1" applyAlignment="1">
      <alignment horizontal="right"/>
    </xf>
    <xf numFmtId="9" fontId="6" fillId="3" borderId="0" xfId="2" applyNumberFormat="1" applyFont="1" applyFill="1" applyBorder="1" applyAlignment="1">
      <alignment horizontal="right"/>
    </xf>
    <xf numFmtId="0" fontId="6" fillId="3" borderId="0" xfId="2" applyFont="1" applyFill="1" applyBorder="1" applyAlignment="1">
      <alignment horizontal="right"/>
    </xf>
    <xf numFmtId="0" fontId="6" fillId="3" borderId="0" xfId="0" applyFont="1" applyFill="1" applyBorder="1" applyAlignment="1">
      <alignment horizontal="right"/>
    </xf>
    <xf numFmtId="0" fontId="6" fillId="3" borderId="0" xfId="10" applyFont="1" applyFill="1" applyBorder="1" applyAlignment="1">
      <alignment horizontal="right"/>
    </xf>
    <xf numFmtId="0" fontId="47" fillId="3" borderId="0" xfId="0" applyFont="1" applyFill="1" applyBorder="1"/>
    <xf numFmtId="37" fontId="6" fillId="3" borderId="0" xfId="0" applyNumberFormat="1" applyFont="1" applyFill="1" applyBorder="1"/>
    <xf numFmtId="9" fontId="6" fillId="3" borderId="0" xfId="4" applyFont="1" applyFill="1" applyBorder="1"/>
    <xf numFmtId="9" fontId="0" fillId="3" borderId="0" xfId="4" applyFont="1" applyFill="1"/>
    <xf numFmtId="0" fontId="35" fillId="3" borderId="0" xfId="0" applyFont="1" applyFill="1" applyBorder="1"/>
    <xf numFmtId="0" fontId="0" fillId="6" borderId="0" xfId="0" applyFont="1" applyFill="1"/>
    <xf numFmtId="0" fontId="18" fillId="6" borderId="0" xfId="0" applyFont="1" applyFill="1"/>
    <xf numFmtId="0" fontId="5" fillId="6" borderId="0" xfId="0" applyFont="1" applyFill="1"/>
    <xf numFmtId="0" fontId="6" fillId="6" borderId="0" xfId="0" applyFont="1" applyFill="1"/>
    <xf numFmtId="0" fontId="26" fillId="0" borderId="0" xfId="0" applyFont="1"/>
    <xf numFmtId="0" fontId="26" fillId="6" borderId="0" xfId="0" applyFont="1" applyFill="1"/>
    <xf numFmtId="0" fontId="13" fillId="6" borderId="0" xfId="0" applyFont="1" applyFill="1"/>
    <xf numFmtId="0" fontId="27" fillId="6" borderId="0" xfId="0" applyFont="1" applyFill="1"/>
    <xf numFmtId="1" fontId="26" fillId="6" borderId="0" xfId="0" applyNumberFormat="1" applyFont="1" applyFill="1"/>
    <xf numFmtId="0" fontId="48" fillId="0" borderId="0" xfId="0" applyFont="1"/>
    <xf numFmtId="0" fontId="49" fillId="6" borderId="0" xfId="0" applyFont="1" applyFill="1"/>
    <xf numFmtId="0" fontId="50" fillId="6" borderId="0" xfId="0" applyFont="1" applyFill="1"/>
    <xf numFmtId="0" fontId="50" fillId="0" borderId="0" xfId="0" applyFont="1"/>
    <xf numFmtId="1" fontId="0" fillId="6" borderId="0" xfId="0" applyNumberFormat="1" applyFont="1" applyFill="1"/>
    <xf numFmtId="0" fontId="49" fillId="0" borderId="0" xfId="0" applyFont="1"/>
    <xf numFmtId="167" fontId="0" fillId="6" borderId="0" xfId="0" applyNumberFormat="1" applyFont="1" applyFill="1"/>
    <xf numFmtId="2" fontId="0" fillId="6" borderId="0" xfId="0" applyNumberFormat="1" applyFont="1" applyFill="1"/>
    <xf numFmtId="167" fontId="26" fillId="6" borderId="0" xfId="0" applyNumberFormat="1" applyFont="1" applyFill="1"/>
    <xf numFmtId="167" fontId="26" fillId="0" borderId="0" xfId="0" applyNumberFormat="1" applyFont="1"/>
    <xf numFmtId="1" fontId="50" fillId="6" borderId="0" xfId="0" applyNumberFormat="1" applyFont="1" applyFill="1"/>
    <xf numFmtId="9" fontId="0" fillId="6" borderId="0" xfId="4" applyFont="1" applyFill="1"/>
    <xf numFmtId="9" fontId="50" fillId="6" borderId="0" xfId="4" applyFont="1" applyFill="1"/>
    <xf numFmtId="0" fontId="44" fillId="6" borderId="0" xfId="0" applyFont="1" applyFill="1"/>
    <xf numFmtId="0" fontId="6" fillId="6" borderId="0" xfId="0" applyFont="1" applyFill="1" applyBorder="1"/>
    <xf numFmtId="164" fontId="6" fillId="6" borderId="0" xfId="1" applyNumberFormat="1" applyFont="1" applyFill="1" applyBorder="1" applyAlignment="1">
      <alignment horizontal="right"/>
    </xf>
    <xf numFmtId="164" fontId="6" fillId="6" borderId="3" xfId="1" applyNumberFormat="1" applyFont="1" applyFill="1" applyBorder="1" applyAlignment="1">
      <alignment horizontal="right"/>
    </xf>
    <xf numFmtId="164" fontId="6" fillId="6" borderId="27" xfId="1" applyNumberFormat="1" applyFont="1" applyFill="1" applyBorder="1" applyAlignment="1">
      <alignment horizontal="right"/>
    </xf>
    <xf numFmtId="0" fontId="44" fillId="6" borderId="0" xfId="0" applyFont="1" applyFill="1" applyBorder="1"/>
    <xf numFmtId="164" fontId="44" fillId="6" borderId="0" xfId="1" applyNumberFormat="1" applyFont="1" applyFill="1" applyBorder="1"/>
    <xf numFmtId="0" fontId="0" fillId="0" borderId="0" xfId="0" applyFont="1" applyFill="1"/>
    <xf numFmtId="37" fontId="0" fillId="6" borderId="27" xfId="0" applyNumberFormat="1" applyFont="1" applyFill="1" applyBorder="1"/>
    <xf numFmtId="37" fontId="0" fillId="6" borderId="0" xfId="0" applyNumberFormat="1" applyFont="1" applyFill="1"/>
    <xf numFmtId="0" fontId="0" fillId="0" borderId="0" xfId="0" applyFont="1" applyAlignment="1">
      <alignment horizontal="left"/>
    </xf>
    <xf numFmtId="0" fontId="0" fillId="0" borderId="0" xfId="0" applyFont="1" applyFill="1" applyAlignment="1">
      <alignment horizontal="left"/>
    </xf>
    <xf numFmtId="0" fontId="0" fillId="6" borderId="0" xfId="0" applyFont="1" applyFill="1" applyAlignment="1">
      <alignment horizontal="left"/>
    </xf>
    <xf numFmtId="9" fontId="0" fillId="6" borderId="0" xfId="4" applyFont="1" applyFill="1" applyAlignment="1">
      <alignment horizontal="left"/>
    </xf>
    <xf numFmtId="0" fontId="6" fillId="6" borderId="0" xfId="0" applyFont="1" applyFill="1" applyAlignment="1">
      <alignment horizontal="left"/>
    </xf>
    <xf numFmtId="164" fontId="6" fillId="6" borderId="0" xfId="1" applyNumberFormat="1" applyFont="1" applyFill="1" applyBorder="1" applyAlignment="1">
      <alignment horizontal="left"/>
    </xf>
    <xf numFmtId="166" fontId="6" fillId="6" borderId="0" xfId="4" applyNumberFormat="1" applyFont="1" applyFill="1" applyBorder="1" applyAlignment="1">
      <alignment horizontal="left"/>
    </xf>
    <xf numFmtId="164" fontId="44" fillId="6" borderId="0" xfId="1" applyNumberFormat="1" applyFont="1" applyFill="1" applyBorder="1" applyAlignment="1">
      <alignment horizontal="left"/>
    </xf>
    <xf numFmtId="1" fontId="0" fillId="6" borderId="0" xfId="0" applyNumberFormat="1" applyFont="1" applyFill="1" applyAlignment="1">
      <alignment horizontal="left"/>
    </xf>
    <xf numFmtId="0" fontId="48" fillId="0" borderId="0" xfId="0" applyFont="1" applyAlignment="1">
      <alignment horizontal="left"/>
    </xf>
    <xf numFmtId="9" fontId="6" fillId="6" borderId="0" xfId="4" applyNumberFormat="1" applyFont="1" applyFill="1" applyBorder="1" applyAlignment="1">
      <alignment horizontal="right"/>
    </xf>
    <xf numFmtId="0" fontId="54" fillId="0" borderId="0" xfId="0" applyFont="1"/>
    <xf numFmtId="0" fontId="50" fillId="0" borderId="5" xfId="0" applyFont="1" applyBorder="1"/>
    <xf numFmtId="0" fontId="50" fillId="0" borderId="5" xfId="0" applyFont="1" applyFill="1" applyBorder="1"/>
    <xf numFmtId="0" fontId="50" fillId="0" borderId="7" xfId="0" applyFont="1" applyBorder="1"/>
    <xf numFmtId="0" fontId="50" fillId="0" borderId="5" xfId="0" applyFont="1" applyBorder="1" applyAlignment="1">
      <alignment horizontal="center" vertical="center"/>
    </xf>
    <xf numFmtId="0" fontId="0" fillId="17" borderId="0" xfId="0" applyFill="1"/>
    <xf numFmtId="0" fontId="0" fillId="5" borderId="11" xfId="0" applyFill="1" applyBorder="1"/>
    <xf numFmtId="0" fontId="0" fillId="5" borderId="12" xfId="0" applyFill="1" applyBorder="1"/>
    <xf numFmtId="1" fontId="0" fillId="5" borderId="12" xfId="0" applyNumberFormat="1" applyFill="1" applyBorder="1"/>
    <xf numFmtId="0" fontId="0" fillId="5" borderId="13" xfId="0" applyFill="1" applyBorder="1"/>
    <xf numFmtId="0" fontId="0" fillId="5" borderId="14" xfId="0" applyFill="1" applyBorder="1"/>
    <xf numFmtId="0" fontId="0" fillId="5" borderId="15" xfId="0" applyFill="1" applyBorder="1"/>
    <xf numFmtId="0" fontId="0" fillId="5" borderId="16" xfId="0" applyFill="1" applyBorder="1"/>
    <xf numFmtId="1" fontId="0" fillId="5" borderId="3" xfId="0" applyNumberFormat="1" applyFill="1" applyBorder="1"/>
    <xf numFmtId="0" fontId="0" fillId="5" borderId="17" xfId="0" applyFill="1" applyBorder="1"/>
    <xf numFmtId="0" fontId="14" fillId="0" borderId="0" xfId="0" applyFont="1"/>
    <xf numFmtId="0" fontId="0" fillId="0" borderId="3" xfId="0" applyFill="1" applyBorder="1"/>
    <xf numFmtId="164" fontId="0" fillId="0" borderId="0" xfId="1" applyNumberFormat="1" applyFont="1" applyFill="1" applyBorder="1"/>
    <xf numFmtId="0" fontId="18" fillId="0" borderId="0" xfId="0" applyFont="1" applyFill="1" applyBorder="1"/>
    <xf numFmtId="1" fontId="0" fillId="0" borderId="0" xfId="0" applyNumberFormat="1" applyFill="1" applyBorder="1"/>
    <xf numFmtId="1" fontId="0" fillId="0" borderId="0" xfId="1" applyNumberFormat="1" applyFont="1" applyFill="1" applyBorder="1"/>
    <xf numFmtId="6" fontId="0" fillId="0" borderId="0" xfId="0" applyNumberFormat="1" applyFill="1"/>
    <xf numFmtId="164" fontId="0" fillId="0" borderId="0" xfId="0" applyNumberFormat="1" applyFill="1"/>
    <xf numFmtId="164" fontId="11" fillId="0" borderId="0" xfId="1" applyNumberFormat="1" applyFont="1" applyFill="1" applyBorder="1"/>
    <xf numFmtId="164" fontId="6" fillId="3" borderId="0" xfId="0" applyNumberFormat="1" applyFont="1" applyFill="1" applyBorder="1"/>
    <xf numFmtId="165" fontId="6" fillId="3" borderId="0" xfId="1" applyNumberFormat="1" applyFont="1" applyFill="1" applyBorder="1"/>
    <xf numFmtId="0" fontId="6" fillId="6" borderId="7" xfId="2" applyFont="1" applyFill="1" applyBorder="1"/>
    <xf numFmtId="164" fontId="6" fillId="6" borderId="6" xfId="1" applyNumberFormat="1" applyFont="1" applyFill="1" applyBorder="1"/>
    <xf numFmtId="164" fontId="6" fillId="6" borderId="7" xfId="1" applyNumberFormat="1" applyFont="1" applyFill="1" applyBorder="1"/>
    <xf numFmtId="0" fontId="0" fillId="3" borderId="0" xfId="0" applyFont="1" applyFill="1" applyAlignment="1">
      <alignment horizontal="right"/>
    </xf>
    <xf numFmtId="0" fontId="0" fillId="3" borderId="0" xfId="0" applyFont="1" applyFill="1" applyAlignment="1">
      <alignment horizontal="left"/>
    </xf>
    <xf numFmtId="0" fontId="6" fillId="6" borderId="6" xfId="2" applyFont="1" applyFill="1" applyBorder="1" applyAlignment="1">
      <alignment horizontal="right"/>
    </xf>
    <xf numFmtId="0" fontId="6" fillId="6" borderId="7" xfId="2" applyFont="1" applyFill="1" applyBorder="1" applyAlignment="1">
      <alignment horizontal="left"/>
    </xf>
    <xf numFmtId="164" fontId="6" fillId="3" borderId="0" xfId="2" applyNumberFormat="1" applyFont="1" applyFill="1" applyBorder="1" applyAlignment="1">
      <alignment horizontal="right"/>
    </xf>
    <xf numFmtId="164" fontId="6" fillId="3" borderId="0" xfId="2" applyNumberFormat="1" applyFont="1" applyFill="1" applyBorder="1" applyAlignment="1">
      <alignment horizontal="left"/>
    </xf>
    <xf numFmtId="164" fontId="6" fillId="3" borderId="0" xfId="2" applyNumberFormat="1" applyFont="1" applyFill="1" applyBorder="1"/>
    <xf numFmtId="9" fontId="6" fillId="3" borderId="0" xfId="2" applyNumberFormat="1" applyFont="1" applyFill="1" applyBorder="1" applyAlignment="1">
      <alignment horizontal="left"/>
    </xf>
    <xf numFmtId="0" fontId="4" fillId="3" borderId="0" xfId="2" applyFont="1" applyFill="1" applyBorder="1" applyAlignment="1">
      <alignment horizontal="right"/>
    </xf>
    <xf numFmtId="0" fontId="6" fillId="3" borderId="0" xfId="2" applyFont="1" applyFill="1" applyBorder="1" applyAlignment="1">
      <alignment horizontal="left"/>
    </xf>
    <xf numFmtId="1" fontId="6" fillId="3" borderId="0" xfId="2" applyNumberFormat="1" applyFont="1" applyFill="1" applyBorder="1"/>
    <xf numFmtId="164" fontId="6" fillId="6" borderId="7" xfId="1" applyNumberFormat="1" applyFont="1" applyFill="1" applyBorder="1" applyAlignment="1">
      <alignment horizontal="left"/>
    </xf>
    <xf numFmtId="10" fontId="0" fillId="5" borderId="0" xfId="0" applyNumberFormat="1" applyFill="1"/>
    <xf numFmtId="3" fontId="0" fillId="5" borderId="0" xfId="0" applyNumberFormat="1" applyFill="1"/>
    <xf numFmtId="0" fontId="6" fillId="3" borderId="0" xfId="4" applyNumberFormat="1" applyFont="1" applyFill="1" applyBorder="1"/>
    <xf numFmtId="37" fontId="6" fillId="3" borderId="0" xfId="4" applyNumberFormat="1" applyFont="1" applyFill="1" applyBorder="1"/>
    <xf numFmtId="0" fontId="0" fillId="6" borderId="0" xfId="0" applyFont="1" applyFill="1" applyBorder="1"/>
    <xf numFmtId="1" fontId="6" fillId="3" borderId="0" xfId="0" applyNumberFormat="1" applyFont="1" applyFill="1" applyBorder="1"/>
    <xf numFmtId="49" fontId="0" fillId="5" borderId="0" xfId="0" applyNumberFormat="1" applyFill="1"/>
    <xf numFmtId="0" fontId="15" fillId="4" borderId="19" xfId="3" applyBorder="1"/>
    <xf numFmtId="0" fontId="0" fillId="16" borderId="7" xfId="0" applyFill="1" applyBorder="1"/>
    <xf numFmtId="0" fontId="45" fillId="4" borderId="19" xfId="3" applyFont="1" applyBorder="1"/>
    <xf numFmtId="164" fontId="45" fillId="4" borderId="6" xfId="1" applyNumberFormat="1" applyFont="1" applyFill="1" applyBorder="1"/>
    <xf numFmtId="0" fontId="43" fillId="4" borderId="2" xfId="3" applyFont="1"/>
    <xf numFmtId="0" fontId="43" fillId="4" borderId="19" xfId="3" applyFont="1" applyBorder="1"/>
    <xf numFmtId="164" fontId="43" fillId="16" borderId="6" xfId="1" applyNumberFormat="1" applyFont="1" applyFill="1" applyBorder="1"/>
    <xf numFmtId="0" fontId="0" fillId="16" borderId="7" xfId="0" applyFont="1" applyFill="1" applyBorder="1"/>
    <xf numFmtId="164" fontId="43" fillId="4" borderId="6" xfId="1" applyNumberFormat="1" applyFont="1" applyFill="1" applyBorder="1"/>
    <xf numFmtId="164" fontId="6" fillId="16" borderId="6" xfId="9" applyNumberFormat="1" applyFont="1" applyFill="1" applyBorder="1"/>
    <xf numFmtId="164" fontId="15" fillId="4" borderId="6" xfId="3" applyNumberFormat="1" applyBorder="1"/>
    <xf numFmtId="164" fontId="30" fillId="16" borderId="6" xfId="9" applyNumberFormat="1" applyFont="1" applyFill="1" applyBorder="1"/>
    <xf numFmtId="43" fontId="0" fillId="3" borderId="0" xfId="0" applyNumberFormat="1" applyFill="1"/>
    <xf numFmtId="0" fontId="43" fillId="16" borderId="28" xfId="3" applyFont="1" applyFill="1" applyBorder="1"/>
    <xf numFmtId="0" fontId="0" fillId="16" borderId="5" xfId="0" applyFill="1" applyBorder="1"/>
    <xf numFmtId="1" fontId="0" fillId="16" borderId="6" xfId="0" applyNumberFormat="1" applyFill="1" applyBorder="1"/>
    <xf numFmtId="43" fontId="43" fillId="4" borderId="6" xfId="1" applyNumberFormat="1" applyFont="1" applyFill="1" applyBorder="1"/>
    <xf numFmtId="164" fontId="6" fillId="16" borderId="6" xfId="6" applyNumberFormat="1" applyFont="1" applyFill="1" applyBorder="1"/>
    <xf numFmtId="0" fontId="0" fillId="18" borderId="0" xfId="0" applyFill="1" applyBorder="1"/>
    <xf numFmtId="8" fontId="0" fillId="0" borderId="0" xfId="0" applyNumberFormat="1"/>
    <xf numFmtId="164" fontId="0" fillId="5" borderId="0" xfId="0" applyNumberFormat="1" applyFill="1"/>
    <xf numFmtId="164" fontId="0" fillId="0" borderId="0" xfId="1" applyNumberFormat="1" applyFont="1"/>
    <xf numFmtId="164" fontId="0" fillId="0" borderId="3" xfId="1" applyNumberFormat="1" applyFont="1" applyBorder="1"/>
    <xf numFmtId="0" fontId="0" fillId="0" borderId="3" xfId="0" applyBorder="1"/>
    <xf numFmtId="0" fontId="0" fillId="18" borderId="0" xfId="0" applyFill="1"/>
    <xf numFmtId="2" fontId="0" fillId="5" borderId="0" xfId="0" applyNumberFormat="1" applyFill="1"/>
    <xf numFmtId="170" fontId="0" fillId="0" borderId="0" xfId="0" applyNumberFormat="1"/>
    <xf numFmtId="3" fontId="0" fillId="0" borderId="0" xfId="0" applyNumberFormat="1"/>
    <xf numFmtId="1" fontId="0" fillId="0" borderId="0" xfId="0" applyNumberFormat="1"/>
    <xf numFmtId="0" fontId="13" fillId="0" borderId="0" xfId="0" applyFont="1"/>
    <xf numFmtId="2" fontId="6" fillId="6" borderId="0" xfId="0" applyNumberFormat="1" applyFont="1" applyFill="1"/>
    <xf numFmtId="0" fontId="55" fillId="6" borderId="0" xfId="0" applyFont="1" applyFill="1"/>
    <xf numFmtId="2" fontId="0" fillId="3" borderId="0" xfId="0" applyNumberFormat="1" applyFont="1" applyFill="1"/>
    <xf numFmtId="0" fontId="50" fillId="6" borderId="0" xfId="0" applyFont="1" applyFill="1" applyAlignment="1">
      <alignment horizontal="left"/>
    </xf>
    <xf numFmtId="167" fontId="6" fillId="3" borderId="0" xfId="0" applyNumberFormat="1" applyFont="1" applyFill="1" applyBorder="1"/>
    <xf numFmtId="171" fontId="0" fillId="0" borderId="0" xfId="0" applyNumberFormat="1"/>
    <xf numFmtId="164" fontId="6" fillId="16" borderId="16" xfId="9" applyNumberFormat="1" applyFont="1" applyFill="1" applyBorder="1"/>
    <xf numFmtId="1" fontId="0" fillId="0" borderId="5" xfId="0" applyNumberFormat="1" applyFill="1" applyBorder="1"/>
    <xf numFmtId="164" fontId="4" fillId="9" borderId="6" xfId="7" applyNumberFormat="1" applyBorder="1"/>
    <xf numFmtId="37" fontId="13" fillId="3" borderId="0" xfId="0" applyNumberFormat="1" applyFont="1" applyFill="1" applyBorder="1" applyAlignment="1">
      <alignment horizontal="center"/>
    </xf>
    <xf numFmtId="37" fontId="13" fillId="3" borderId="0" xfId="0" applyNumberFormat="1" applyFont="1" applyFill="1" applyBorder="1" applyAlignment="1"/>
    <xf numFmtId="0" fontId="13" fillId="3" borderId="0" xfId="0" applyFont="1" applyFill="1" applyBorder="1" applyAlignment="1">
      <alignment horizontal="center"/>
    </xf>
    <xf numFmtId="0" fontId="13" fillId="3" borderId="0" xfId="0" applyNumberFormat="1" applyFont="1" applyFill="1" applyBorder="1" applyAlignment="1">
      <alignment horizontal="center"/>
    </xf>
    <xf numFmtId="0" fontId="13" fillId="3" borderId="0" xfId="0" applyFont="1" applyFill="1" applyAlignment="1">
      <alignment horizontal="right"/>
    </xf>
    <xf numFmtId="0" fontId="13" fillId="3" borderId="0" xfId="0" applyFont="1" applyFill="1" applyAlignment="1">
      <alignment horizontal="center"/>
    </xf>
    <xf numFmtId="0" fontId="13" fillId="3" borderId="0" xfId="0" applyFont="1" applyFill="1" applyBorder="1" applyAlignment="1"/>
    <xf numFmtId="164" fontId="6" fillId="3" borderId="0" xfId="1" applyNumberFormat="1" applyFont="1" applyFill="1" applyBorder="1" applyAlignment="1">
      <alignment horizontal="center"/>
    </xf>
    <xf numFmtId="0" fontId="13" fillId="15" borderId="0" xfId="0" applyFont="1" applyFill="1" applyBorder="1" applyAlignment="1">
      <alignment horizontal="center"/>
    </xf>
    <xf numFmtId="0" fontId="13" fillId="15" borderId="0" xfId="0" applyFont="1" applyFill="1" applyBorder="1" applyAlignment="1"/>
    <xf numFmtId="0" fontId="34" fillId="4" borderId="23" xfId="3" applyFont="1" applyBorder="1" applyAlignment="1">
      <alignment horizontal="center"/>
    </xf>
    <xf numFmtId="0" fontId="34" fillId="4" borderId="8" xfId="3" applyFont="1" applyBorder="1" applyAlignment="1">
      <alignment horizontal="center"/>
    </xf>
    <xf numFmtId="0" fontId="34" fillId="4" borderId="5" xfId="3" applyFont="1" applyBorder="1" applyAlignment="1">
      <alignment horizontal="center"/>
    </xf>
    <xf numFmtId="0" fontId="14" fillId="0" borderId="0" xfId="0" applyFont="1" applyAlignment="1">
      <alignment horizontal="center"/>
    </xf>
    <xf numFmtId="0" fontId="0" fillId="0" borderId="5" xfId="0" applyBorder="1" applyAlignment="1">
      <alignment horizontal="left" vertical="center"/>
    </xf>
    <xf numFmtId="0" fontId="0" fillId="0" borderId="5" xfId="0" applyBorder="1" applyAlignment="1">
      <alignment horizontal="center" vertical="center"/>
    </xf>
    <xf numFmtId="1" fontId="0" fillId="0" borderId="5" xfId="0" applyNumberFormat="1" applyBorder="1" applyAlignment="1">
      <alignment horizontal="center" vertical="center"/>
    </xf>
    <xf numFmtId="0" fontId="50" fillId="0" borderId="5" xfId="0" applyFont="1" applyBorder="1" applyAlignment="1">
      <alignment horizontal="left" vertical="center"/>
    </xf>
    <xf numFmtId="0" fontId="50" fillId="0" borderId="7" xfId="0" applyFont="1" applyBorder="1" applyAlignment="1">
      <alignment horizontal="left" vertical="center"/>
    </xf>
    <xf numFmtId="0" fontId="50" fillId="0" borderId="5" xfId="0" applyFont="1" applyBorder="1" applyAlignment="1">
      <alignment horizontal="center" vertical="center"/>
    </xf>
    <xf numFmtId="1" fontId="50" fillId="0" borderId="5" xfId="0" applyNumberFormat="1" applyFont="1" applyBorder="1" applyAlignment="1">
      <alignment horizontal="center" vertical="center"/>
    </xf>
  </cellXfs>
  <cellStyles count="13">
    <cellStyle name="60 % - Markeringsfarve6" xfId="9" builtinId="52"/>
    <cellStyle name="Beregning" xfId="8" builtinId="22"/>
    <cellStyle name="Input" xfId="5" builtinId="20"/>
    <cellStyle name="Komma" xfId="1" builtinId="3"/>
    <cellStyle name="Kontroller celle" xfId="2" builtinId="23" customBuiltin="1"/>
    <cellStyle name="Markeringsfarve2" xfId="6" builtinId="33"/>
    <cellStyle name="Markeringsfarve3" xfId="7" builtinId="37"/>
    <cellStyle name="Neutral" xfId="12" builtinId="28" customBuiltin="1"/>
    <cellStyle name="Normal" xfId="0" builtinId="0"/>
    <cellStyle name="Output" xfId="3" builtinId="21"/>
    <cellStyle name="Procent" xfId="4" builtinId="5"/>
    <cellStyle name="Ugyldig" xfId="10" builtinId="27"/>
    <cellStyle name="Valuta" xfId="11" builtinId="4"/>
  </cellStyles>
  <dxfs count="3">
    <dxf>
      <font>
        <b/>
        <i val="0"/>
      </font>
      <border>
        <left style="thin">
          <color rgb="FF9C0006"/>
        </left>
        <right style="thin">
          <color rgb="FF9C0006"/>
        </right>
        <top style="thin">
          <color rgb="FF9C0006"/>
        </top>
        <bottom style="thin">
          <color rgb="FF9C0006"/>
        </bottom>
        <vertical/>
        <horizontal/>
      </border>
    </dxf>
    <dxf>
      <font>
        <b/>
        <i val="0"/>
      </font>
      <border>
        <left style="thin">
          <color rgb="FF9C0006"/>
        </left>
        <right style="thin">
          <color rgb="FF9C0006"/>
        </right>
        <top style="thin">
          <color rgb="FF9C0006"/>
        </top>
        <bottom style="thin">
          <color rgb="FF9C0006"/>
        </bottom>
        <vertical/>
        <horizontal/>
      </border>
    </dxf>
    <dxf>
      <font>
        <b/>
        <i val="0"/>
      </font>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Style="combo" dx="16" fmlaLink="$AL$3" fmlaRange="Rådata!#REF!" noThreeD="1" sel="0" val="0"/>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Drop" dropStyle="combo" dx="16" fmlaLink="$AL$4" fmlaRange="Rådata!#REF!" noThreeD="1" sel="0" val="0"/>
</file>

<file path=xl/ctrlProps/ctrlProp14.xml><?xml version="1.0" encoding="utf-8"?>
<formControlPr xmlns="http://schemas.microsoft.com/office/spreadsheetml/2009/9/main" objectType="Drop" dropStyle="combo" dx="16" fmlaLink="$AL$7" fmlaRange="Rådata!#REF!" noThreeD="1" sel="0" val="0"/>
</file>

<file path=xl/ctrlProps/ctrlProp15.xml><?xml version="1.0" encoding="utf-8"?>
<formControlPr xmlns="http://schemas.microsoft.com/office/spreadsheetml/2009/9/main" objectType="Drop" dropLines="4" dropStyle="combo" dx="16" fmlaLink="$AN$1" fmlaRange="Rådata!#REF!" noThreeD="1" sel="0" val="0"/>
</file>

<file path=xl/ctrlProps/ctrlProp16.xml><?xml version="1.0" encoding="utf-8"?>
<formControlPr xmlns="http://schemas.microsoft.com/office/spreadsheetml/2009/9/main" objectType="Drop" dropLines="4" dropStyle="combo" dx="16" fmlaLink="$AN$2" fmlaRange="Rådata!#REF!" noThreeD="1" sel="0" val="0"/>
</file>

<file path=xl/ctrlProps/ctrlProp17.xml><?xml version="1.0" encoding="utf-8"?>
<formControlPr xmlns="http://schemas.microsoft.com/office/spreadsheetml/2009/9/main" objectType="Drop" dropLines="4" dropStyle="combo" dx="16" fmlaLink="$AN$3" fmlaRange="Rådata!#REF!" noThreeD="1" sel="0" val="0"/>
</file>

<file path=xl/ctrlProps/ctrlProp18.xml><?xml version="1.0" encoding="utf-8"?>
<formControlPr xmlns="http://schemas.microsoft.com/office/spreadsheetml/2009/9/main" objectType="Drop" dropLines="4" dropStyle="combo" dx="16" fmlaLink="$AN$4" fmlaRange="Rådata!#REF!" noThreeD="1" sel="0" val="0"/>
</file>

<file path=xl/ctrlProps/ctrlProp19.xml><?xml version="1.0" encoding="utf-8"?>
<formControlPr xmlns="http://schemas.microsoft.com/office/spreadsheetml/2009/9/main" objectType="Drop" dropLines="4" dropStyle="combo" dx="16" fmlaLink="$AN$5" fmlaRange="Rådata!#REF!" noThreeD="1" sel="0" val="0"/>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Drop" dropLines="4" dropStyle="combo" dx="16" fmlaLink="$AN$6" fmlaRange="Rådata!#REF!" noThreeD="1" sel="0" val="0"/>
</file>

<file path=xl/ctrlProps/ctrlProp21.xml><?xml version="1.0" encoding="utf-8"?>
<formControlPr xmlns="http://schemas.microsoft.com/office/spreadsheetml/2009/9/main" objectType="Drop" dropLines="4" dropStyle="combo" dx="16" fmlaLink="$AN$7" fmlaRange="Rådata!#REF!" noThreeD="1" sel="0" val="0"/>
</file>

<file path=xl/ctrlProps/ctrlProp22.xml><?xml version="1.0" encoding="utf-8"?>
<formControlPr xmlns="http://schemas.microsoft.com/office/spreadsheetml/2009/9/main" objectType="Drop" dropLines="4" dropStyle="combo" dx="16" fmlaLink="$AN$8" fmlaRange="Rådata!#REF!" noThreeD="1" sel="0" val="0"/>
</file>

<file path=xl/ctrlProps/ctrlProp23.xml><?xml version="1.0" encoding="utf-8"?>
<formControlPr xmlns="http://schemas.microsoft.com/office/spreadsheetml/2009/9/main" objectType="Drop" dropLines="4" dropStyle="combo" dx="16" fmlaLink="$AN$9" fmlaRange="Rådata!#REF!" noThreeD="1" sel="0" val="0"/>
</file>

<file path=xl/ctrlProps/ctrlProp24.xml><?xml version="1.0" encoding="utf-8"?>
<formControlPr xmlns="http://schemas.microsoft.com/office/spreadsheetml/2009/9/main" objectType="Drop" dropLines="4" dropStyle="combo" dx="16" fmlaLink="$AN$10" fmlaRange="Rådata!#REF!" noThreeD="1" sel="0" val="0"/>
</file>

<file path=xl/ctrlProps/ctrlProp25.xml><?xml version="1.0" encoding="utf-8"?>
<formControlPr xmlns="http://schemas.microsoft.com/office/spreadsheetml/2009/9/main" objectType="Drop" dropLines="4" dropStyle="combo" dx="16" fmlaLink="$AN$11" fmlaRange="Rådata!#REF!" noThreeD="1" sel="0" val="0"/>
</file>

<file path=xl/ctrlProps/ctrlProp26.xml><?xml version="1.0" encoding="utf-8"?>
<formControlPr xmlns="http://schemas.microsoft.com/office/spreadsheetml/2009/9/main" objectType="Drop" dropLines="4" dropStyle="combo" dx="16" fmlaLink="$AN$12" fmlaRange="Rådata!#REF!" noThreeD="1" sel="0" val="0"/>
</file>

<file path=xl/ctrlProps/ctrlProp27.xml><?xml version="1.0" encoding="utf-8"?>
<formControlPr xmlns="http://schemas.microsoft.com/office/spreadsheetml/2009/9/main" objectType="Drop" dropLines="4" dropStyle="combo" dx="16" fmlaLink="$AN$13" fmlaRange="Rådata!#REF!" noThreeD="1" sel="0" val="0"/>
</file>

<file path=xl/ctrlProps/ctrlProp28.xml><?xml version="1.0" encoding="utf-8"?>
<formControlPr xmlns="http://schemas.microsoft.com/office/spreadsheetml/2009/9/main" objectType="Drop" dropLines="4" dropStyle="combo" dx="16" fmlaLink="$AN$14" fmlaRange="Rådata!#REF!" noThreeD="1" sel="0" val="0"/>
</file>

<file path=xl/ctrlProps/ctrlProp29.xml><?xml version="1.0" encoding="utf-8"?>
<formControlPr xmlns="http://schemas.microsoft.com/office/spreadsheetml/2009/9/main" objectType="Drop" dropLines="4" dropStyle="combo" dx="16" fmlaLink="$AN$15" fmlaRange="Rådata!#REF!" noThreeD="1" sel="0" val="0"/>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Drop" dropLines="4" dropStyle="combo" dx="16" fmlaLink="$AN$16" fmlaRange="Rådata!#REF!" noThreeD="1" sel="0" val="0"/>
</file>

<file path=xl/ctrlProps/ctrlProp31.xml><?xml version="1.0" encoding="utf-8"?>
<formControlPr xmlns="http://schemas.microsoft.com/office/spreadsheetml/2009/9/main" objectType="Drop" dropStyle="combo" dx="16" fmlaLink="$AL$7" fmlaRange="Rådata!#REF!" noThreeD="1" sel="0" val="0"/>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Drop" dropStyle="combo" dx="16" fmlaLink="$V$2" fmlaRange="Rådata_majs!$B$21:$B$26" noThreeD="1" sel="2" val="0"/>
</file>

<file path=xl/ctrlProps/ctrlProp41.xml><?xml version="1.0" encoding="utf-8"?>
<formControlPr xmlns="http://schemas.microsoft.com/office/spreadsheetml/2009/9/main" objectType="Drop" dropStyle="combo" dx="15" fmlaLink="$V$3" fmlaRange="Rådata_majs!$B$30:$B$31" noThreeD="1" sel="2" val="0"/>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Drop" dropStyle="combo" dx="16" fmlaLink="$AF$2" fmlaRange="'Rådata roer'!$B$18:$B$23" noThreeD="1" sel="2" val="0"/>
</file>

<file path=xl/ctrlProps/ctrlProp44.xml><?xml version="1.0" encoding="utf-8"?>
<formControlPr xmlns="http://schemas.microsoft.com/office/spreadsheetml/2009/9/main" objectType="Drop" dropStyle="combo" dx="16" fmlaLink="$AF$4" fmlaRange="Rådata!$B$31:$B$32" noThreeD="1" sel="2" val="0"/>
</file>

<file path=xl/ctrlProps/ctrlProp45.xml><?xml version="1.0" encoding="utf-8"?>
<formControlPr xmlns="http://schemas.microsoft.com/office/spreadsheetml/2009/9/main" objectType="Drop" dropStyle="combo" dx="15" fmlaLink="$AF$3" fmlaRange="'Rådata roer'!$B$28:$B$30" noThreeD="1" val="0"/>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Drop" dropStyle="combo" dx="16" fmlaLink="$AF$6" fmlaRange="'Rådata roer'!$C$37:$C$40" noThreeD="1" sel="2" val="0"/>
</file>

<file path=xl/ctrlProps/ctrlProp49.xml><?xml version="1.0" encoding="utf-8"?>
<formControlPr xmlns="http://schemas.microsoft.com/office/spreadsheetml/2009/9/main" objectType="Drop" dropStyle="combo" dx="16" fmlaLink="Roelager" fmlaRange="'Rådata roer'!$B$33:$B$34" noThreeD="1" val="0"/>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Drop" dropStyle="combo" dx="16" fmlaLink="$AF$7" fmlaRange="'Rådata roer'!$C$37:$C$40" noThreeD="1" sel="2" val="0"/>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Drop" dropStyle="combo" dx="16" fmlaLink="$AD$1" fmlaRange="Rådata!#REF!" noThreeD="1" sel="0" val="0"/>
</file>

<file path=xl/ctrlProps/ctrlProp56.xml><?xml version="1.0" encoding="utf-8"?>
<formControlPr xmlns="http://schemas.microsoft.com/office/spreadsheetml/2009/9/main" objectType="Drop" dropStyle="combo" dx="16" fmlaLink="$AD$2" fmlaRange="Rådata!#REF!" noThreeD="1" sel="0" val="0"/>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Drop" dropStyle="combo" dx="16" fmlaLink="$AD$3" fmlaRange="Rådata!#REF!" noThreeD="1" sel="0" val="0"/>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Drop" dropStyle="combo" dx="16" fmlaLink="$AD$4" fmlaRange="Rådata!#REF!" noThreeD="1" sel="0" val="0"/>
</file>

<file path=xl/ctrlProps/ctrlProp61.xml><?xml version="1.0" encoding="utf-8"?>
<formControlPr xmlns="http://schemas.microsoft.com/office/spreadsheetml/2009/9/main" objectType="Drop" dropStyle="combo" dx="16" fmlaLink="$AD$5" fmlaRange="Rådata!#REF!" noThreeD="1" sel="0" val="0"/>
</file>

<file path=xl/ctrlProps/ctrlProp62.xml><?xml version="1.0" encoding="utf-8"?>
<formControlPr xmlns="http://schemas.microsoft.com/office/spreadsheetml/2009/9/main" objectType="Drop" dropStyle="combo" dx="16" fmlaLink="$AD$6" fmlaRange="Rådata!#REF!" noThreeD="1" sel="0" val="0"/>
</file>

<file path=xl/ctrlProps/ctrlProp63.xml><?xml version="1.0" encoding="utf-8"?>
<formControlPr xmlns="http://schemas.microsoft.com/office/spreadsheetml/2009/9/main" objectType="CheckBox" checked="Checked" fmlaLink="$AD$1" lockText="1" noThreeD="1"/>
</file>

<file path=xl/ctrlProps/ctrlProp64.xml><?xml version="1.0" encoding="utf-8"?>
<formControlPr xmlns="http://schemas.microsoft.com/office/spreadsheetml/2009/9/main" objectType="Drop" dropStyle="combo" dx="16" fmlaLink="$AD$2" fmlaRange="Rådata!#REF!" noThreeD="1" sel="0" val="0"/>
</file>

<file path=xl/ctrlProps/ctrlProp65.xml><?xml version="1.0" encoding="utf-8"?>
<formControlPr xmlns="http://schemas.microsoft.com/office/spreadsheetml/2009/9/main" objectType="Drop" dropStyle="combo" dx="16" fmlaLink="$AD$3" fmlaRange="Rådata!#REF!" noThreeD="1" sel="0" val="0"/>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Drop" dropStyle="combo" dx="16" fmlaLink="$AD$4" fmlaRange="Rådata!#REF!" noThreeD="1" sel="0" val="0"/>
</file>

<file path=xl/ctrlProps/ctrlProp69.xml><?xml version="1.0" encoding="utf-8"?>
<formControlPr xmlns="http://schemas.microsoft.com/office/spreadsheetml/2009/9/main" objectType="Drop" dropStyle="combo" dx="16" fmlaLink="$AD$5" fmlaRange="Rådata!#REF!" noThreeD="1" sel="0" val="0"/>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Drop" dropStyle="combo" dx="16" fmlaLink="$AD$6" fmlaRange="Rådata!#REF!" noThreeD="1" sel="0" val="0"/>
</file>

<file path=xl/ctrlProps/ctrlProp71.xml><?xml version="1.0" encoding="utf-8"?>
<formControlPr xmlns="http://schemas.microsoft.com/office/spreadsheetml/2009/9/main" objectType="Drop" dropStyle="combo" dx="16" fmlaLink="$AD$7" fmlaRange="Rådata!#REF!" noThreeD="1" sel="0" val="0"/>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Drop" dropStyle="combo" dx="16" fmlaLink="$AL$2" fmlaRange="Rådata!#REF!"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8</xdr:row>
          <xdr:rowOff>95250</xdr:rowOff>
        </xdr:from>
        <xdr:to>
          <xdr:col>4</xdr:col>
          <xdr:colOff>342900</xdr:colOff>
          <xdr:row>11</xdr:row>
          <xdr:rowOff>104775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Hvedehalm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12</xdr:row>
          <xdr:rowOff>19050</xdr:rowOff>
        </xdr:from>
        <xdr:to>
          <xdr:col>7</xdr:col>
          <xdr:colOff>219075</xdr:colOff>
          <xdr:row>15</xdr:row>
          <xdr:rowOff>28575</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Enggræs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19050</xdr:rowOff>
        </xdr:from>
        <xdr:to>
          <xdr:col>4</xdr:col>
          <xdr:colOff>352425</xdr:colOff>
          <xdr:row>15</xdr:row>
          <xdr:rowOff>28575</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Roer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485775</xdr:colOff>
          <xdr:row>4</xdr:row>
          <xdr:rowOff>161925</xdr:rowOff>
        </xdr:from>
        <xdr:to>
          <xdr:col>7</xdr:col>
          <xdr:colOff>209550</xdr:colOff>
          <xdr:row>7</xdr:row>
          <xdr:rowOff>171450</xdr:rowOff>
        </xdr:to>
        <xdr:sp macro="" textlink="">
          <xdr:nvSpPr>
            <xdr:cNvPr id="2052" name="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Dybstrøelse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xdr:row>
          <xdr:rowOff>161925</xdr:rowOff>
        </xdr:from>
        <xdr:to>
          <xdr:col>4</xdr:col>
          <xdr:colOff>333375</xdr:colOff>
          <xdr:row>7</xdr:row>
          <xdr:rowOff>171450</xdr:rowOff>
        </xdr:to>
        <xdr:sp macro="" textlink="">
          <xdr:nvSpPr>
            <xdr:cNvPr id="2053" name="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Gylle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485775</xdr:colOff>
          <xdr:row>8</xdr:row>
          <xdr:rowOff>95250</xdr:rowOff>
        </xdr:from>
        <xdr:to>
          <xdr:col>7</xdr:col>
          <xdr:colOff>209550</xdr:colOff>
          <xdr:row>11</xdr:row>
          <xdr:rowOff>104775</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Hvedehalm + decentral brikettering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15</xdr:row>
          <xdr:rowOff>152400</xdr:rowOff>
        </xdr:from>
        <xdr:to>
          <xdr:col>7</xdr:col>
          <xdr:colOff>219075</xdr:colOff>
          <xdr:row>18</xdr:row>
          <xdr:rowOff>161925</xdr:rowOff>
        </xdr:to>
        <xdr:sp macro="" textlink="">
          <xdr:nvSpPr>
            <xdr:cNvPr id="2055" name="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Majs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15</xdr:row>
          <xdr:rowOff>123825</xdr:rowOff>
        </xdr:from>
        <xdr:to>
          <xdr:col>4</xdr:col>
          <xdr:colOff>352425</xdr:colOff>
          <xdr:row>18</xdr:row>
          <xdr:rowOff>133350</xdr:rowOff>
        </xdr:to>
        <xdr:sp macro="" textlink="">
          <xdr:nvSpPr>
            <xdr:cNvPr id="2057" name="Button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Rapshalm</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19</xdr:row>
          <xdr:rowOff>152400</xdr:rowOff>
        </xdr:from>
        <xdr:to>
          <xdr:col>1</xdr:col>
          <xdr:colOff>1238250</xdr:colOff>
          <xdr:row>21</xdr:row>
          <xdr:rowOff>114300</xdr:rowOff>
        </xdr:to>
        <xdr:sp macro="" textlink="">
          <xdr:nvSpPr>
            <xdr:cNvPr id="34817" name="Button 1" hidden="1">
              <a:extLst>
                <a:ext uri="{63B3BB69-23CF-44E3-9099-C40C66FF867C}">
                  <a14:compatExt spid="_x0000_s3481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indtasningsark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22</xdr:row>
          <xdr:rowOff>38100</xdr:rowOff>
        </xdr:from>
        <xdr:to>
          <xdr:col>1</xdr:col>
          <xdr:colOff>1238250</xdr:colOff>
          <xdr:row>24</xdr:row>
          <xdr:rowOff>0</xdr:rowOff>
        </xdr:to>
        <xdr:sp macro="" textlink="">
          <xdr:nvSpPr>
            <xdr:cNvPr id="34818" name="Button 2" hidden="1">
              <a:extLst>
                <a:ext uri="{63B3BB69-23CF-44E3-9099-C40C66FF867C}">
                  <a14:compatExt spid="_x0000_s348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19</xdr:row>
          <xdr:rowOff>114300</xdr:rowOff>
        </xdr:from>
        <xdr:to>
          <xdr:col>1</xdr:col>
          <xdr:colOff>790575</xdr:colOff>
          <xdr:row>21</xdr:row>
          <xdr:rowOff>57150</xdr:rowOff>
        </xdr:to>
        <xdr:sp macro="" textlink="">
          <xdr:nvSpPr>
            <xdr:cNvPr id="45057" name="Button 1" hidden="1">
              <a:extLst>
                <a:ext uri="{63B3BB69-23CF-44E3-9099-C40C66FF867C}">
                  <a14:compatExt spid="_x0000_s4505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22</xdr:row>
          <xdr:rowOff>9525</xdr:rowOff>
        </xdr:from>
        <xdr:to>
          <xdr:col>1</xdr:col>
          <xdr:colOff>800100</xdr:colOff>
          <xdr:row>23</xdr:row>
          <xdr:rowOff>161925</xdr:rowOff>
        </xdr:to>
        <xdr:sp macro="" textlink="">
          <xdr:nvSpPr>
            <xdr:cNvPr id="45058" name="Button 2" hidden="1">
              <a:extLst>
                <a:ext uri="{63B3BB69-23CF-44E3-9099-C40C66FF867C}">
                  <a14:compatExt spid="_x0000_s4505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42</xdr:row>
          <xdr:rowOff>9525</xdr:rowOff>
        </xdr:from>
        <xdr:to>
          <xdr:col>0</xdr:col>
          <xdr:colOff>1847850</xdr:colOff>
          <xdr:row>42</xdr:row>
          <xdr:rowOff>209550</xdr:rowOff>
        </xdr:to>
        <xdr:sp macro="" textlink="">
          <xdr:nvSpPr>
            <xdr:cNvPr id="16386" name="Drop Down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9525</xdr:rowOff>
        </xdr:from>
        <xdr:to>
          <xdr:col>0</xdr:col>
          <xdr:colOff>1876425</xdr:colOff>
          <xdr:row>32</xdr:row>
          <xdr:rowOff>209550</xdr:rowOff>
        </xdr:to>
        <xdr:sp macro="" textlink="">
          <xdr:nvSpPr>
            <xdr:cNvPr id="16388" name="Drop Down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47</xdr:row>
          <xdr:rowOff>0</xdr:rowOff>
        </xdr:from>
        <xdr:to>
          <xdr:col>8</xdr:col>
          <xdr:colOff>95250</xdr:colOff>
          <xdr:row>49</xdr:row>
          <xdr:rowOff>76200</xdr:rowOff>
        </xdr:to>
        <xdr:sp macro="" textlink="">
          <xdr:nvSpPr>
            <xdr:cNvPr id="16392" name="Button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Beregn resultater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581025</xdr:colOff>
          <xdr:row>43</xdr:row>
          <xdr:rowOff>9525</xdr:rowOff>
        </xdr:from>
        <xdr:to>
          <xdr:col>8</xdr:col>
          <xdr:colOff>66675</xdr:colOff>
          <xdr:row>45</xdr:row>
          <xdr:rowOff>85725</xdr:rowOff>
        </xdr:to>
        <xdr:sp macro="" textlink="">
          <xdr:nvSpPr>
            <xdr:cNvPr id="16393" name="Button 9" hidden="1">
              <a:extLst>
                <a:ext uri="{63B3BB69-23CF-44E3-9099-C40C66FF867C}">
                  <a14:compatExt spid="_x0000_s1639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66675</xdr:rowOff>
        </xdr:from>
        <xdr:to>
          <xdr:col>0</xdr:col>
          <xdr:colOff>1857375</xdr:colOff>
          <xdr:row>49</xdr:row>
          <xdr:rowOff>76200</xdr:rowOff>
        </xdr:to>
        <xdr:sp macro="" textlink="">
          <xdr:nvSpPr>
            <xdr:cNvPr id="16394" name="Drop Down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xdr:rowOff>
        </xdr:from>
        <xdr:to>
          <xdr:col>0</xdr:col>
          <xdr:colOff>1857375</xdr:colOff>
          <xdr:row>27</xdr:row>
          <xdr:rowOff>19050</xdr:rowOff>
        </xdr:to>
        <xdr:sp macro="" textlink="">
          <xdr:nvSpPr>
            <xdr:cNvPr id="16420" name="Drop Down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1838325</xdr:colOff>
          <xdr:row>16</xdr:row>
          <xdr:rowOff>200025</xdr:rowOff>
        </xdr:to>
        <xdr:sp macro="" textlink="">
          <xdr:nvSpPr>
            <xdr:cNvPr id="16432" name="Drop Down 48" hidden="1">
              <a:extLst>
                <a:ext uri="{63B3BB69-23CF-44E3-9099-C40C66FF867C}">
                  <a14:compatExt spid="_x0000_s1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1838325</xdr:colOff>
          <xdr:row>18</xdr:row>
          <xdr:rowOff>200025</xdr:rowOff>
        </xdr:to>
        <xdr:sp macro="" textlink="">
          <xdr:nvSpPr>
            <xdr:cNvPr id="16433" name="Drop Down 49" hidden="1">
              <a:extLst>
                <a:ext uri="{63B3BB69-23CF-44E3-9099-C40C66FF867C}">
                  <a14:compatExt spid="_x0000_s16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1838325</xdr:colOff>
          <xdr:row>20</xdr:row>
          <xdr:rowOff>200025</xdr:rowOff>
        </xdr:to>
        <xdr:sp macro="" textlink="">
          <xdr:nvSpPr>
            <xdr:cNvPr id="16434" name="Drop Down 50" hidden="1">
              <a:extLst>
                <a:ext uri="{63B3BB69-23CF-44E3-9099-C40C66FF867C}">
                  <a14:compatExt spid="_x0000_s1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200025</xdr:rowOff>
        </xdr:from>
        <xdr:to>
          <xdr:col>7</xdr:col>
          <xdr:colOff>1847850</xdr:colOff>
          <xdr:row>22</xdr:row>
          <xdr:rowOff>180975</xdr:rowOff>
        </xdr:to>
        <xdr:sp macro="" textlink="">
          <xdr:nvSpPr>
            <xdr:cNvPr id="16435" name="Drop Down 51" hidden="1">
              <a:extLst>
                <a:ext uri="{63B3BB69-23CF-44E3-9099-C40C66FF867C}">
                  <a14:compatExt spid="_x0000_s1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47625</xdr:rowOff>
        </xdr:from>
        <xdr:to>
          <xdr:col>7</xdr:col>
          <xdr:colOff>1847850</xdr:colOff>
          <xdr:row>30</xdr:row>
          <xdr:rowOff>28575</xdr:rowOff>
        </xdr:to>
        <xdr:sp macro="" textlink="">
          <xdr:nvSpPr>
            <xdr:cNvPr id="16441" name="Drop Down 57" hidden="1">
              <a:extLst>
                <a:ext uri="{63B3BB69-23CF-44E3-9099-C40C66FF867C}">
                  <a14:compatExt spid="_x0000_s16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19050</xdr:rowOff>
        </xdr:from>
        <xdr:to>
          <xdr:col>7</xdr:col>
          <xdr:colOff>1847850</xdr:colOff>
          <xdr:row>32</xdr:row>
          <xdr:rowOff>0</xdr:rowOff>
        </xdr:to>
        <xdr:sp macro="" textlink="">
          <xdr:nvSpPr>
            <xdr:cNvPr id="16442" name="Drop Down 58" hidden="1">
              <a:extLst>
                <a:ext uri="{63B3BB69-23CF-44E3-9099-C40C66FF867C}">
                  <a14:compatExt spid="_x0000_s16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28575</xdr:rowOff>
        </xdr:from>
        <xdr:to>
          <xdr:col>7</xdr:col>
          <xdr:colOff>1838325</xdr:colOff>
          <xdr:row>34</xdr:row>
          <xdr:rowOff>9525</xdr:rowOff>
        </xdr:to>
        <xdr:sp macro="" textlink="">
          <xdr:nvSpPr>
            <xdr:cNvPr id="16443" name="Drop Down 59" hidden="1">
              <a:extLst>
                <a:ext uri="{63B3BB69-23CF-44E3-9099-C40C66FF867C}">
                  <a14:compatExt spid="_x0000_s16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19050</xdr:rowOff>
        </xdr:from>
        <xdr:to>
          <xdr:col>7</xdr:col>
          <xdr:colOff>1866900</xdr:colOff>
          <xdr:row>36</xdr:row>
          <xdr:rowOff>0</xdr:rowOff>
        </xdr:to>
        <xdr:sp macro="" textlink="">
          <xdr:nvSpPr>
            <xdr:cNvPr id="16444" name="Drop Down 60" hidden="1">
              <a:extLst>
                <a:ext uri="{63B3BB69-23CF-44E3-9099-C40C66FF867C}">
                  <a14:compatExt spid="_x0000_s16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0</xdr:rowOff>
        </xdr:from>
        <xdr:to>
          <xdr:col>24</xdr:col>
          <xdr:colOff>1838325</xdr:colOff>
          <xdr:row>28</xdr:row>
          <xdr:rowOff>200025</xdr:rowOff>
        </xdr:to>
        <xdr:sp macro="" textlink="">
          <xdr:nvSpPr>
            <xdr:cNvPr id="16445" name="Drop Down 61" hidden="1">
              <a:extLst>
                <a:ext uri="{63B3BB69-23CF-44E3-9099-C40C66FF867C}">
                  <a14:compatExt spid="_x0000_s16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24</xdr:col>
          <xdr:colOff>1838325</xdr:colOff>
          <xdr:row>30</xdr:row>
          <xdr:rowOff>200025</xdr:rowOff>
        </xdr:to>
        <xdr:sp macro="" textlink="">
          <xdr:nvSpPr>
            <xdr:cNvPr id="16446" name="Drop Down 62" hidden="1">
              <a:extLst>
                <a:ext uri="{63B3BB69-23CF-44E3-9099-C40C66FF867C}">
                  <a14:compatExt spid="_x0000_s16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0</xdr:rowOff>
        </xdr:from>
        <xdr:to>
          <xdr:col>24</xdr:col>
          <xdr:colOff>1838325</xdr:colOff>
          <xdr:row>32</xdr:row>
          <xdr:rowOff>200025</xdr:rowOff>
        </xdr:to>
        <xdr:sp macro="" textlink="">
          <xdr:nvSpPr>
            <xdr:cNvPr id="16447" name="Drop Down 63" hidden="1">
              <a:extLst>
                <a:ext uri="{63B3BB69-23CF-44E3-9099-C40C66FF867C}">
                  <a14:compatExt spid="_x0000_s16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200025</xdr:rowOff>
        </xdr:from>
        <xdr:to>
          <xdr:col>24</xdr:col>
          <xdr:colOff>1847850</xdr:colOff>
          <xdr:row>34</xdr:row>
          <xdr:rowOff>180975</xdr:rowOff>
        </xdr:to>
        <xdr:sp macro="" textlink="">
          <xdr:nvSpPr>
            <xdr:cNvPr id="16448" name="Drop Down 64" hidden="1">
              <a:extLst>
                <a:ext uri="{63B3BB69-23CF-44E3-9099-C40C66FF867C}">
                  <a14:compatExt spid="_x0000_s1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1838325</xdr:colOff>
          <xdr:row>43</xdr:row>
          <xdr:rowOff>200025</xdr:rowOff>
        </xdr:to>
        <xdr:sp macro="" textlink="">
          <xdr:nvSpPr>
            <xdr:cNvPr id="16453" name="Drop Down 69" hidden="1">
              <a:extLst>
                <a:ext uri="{63B3BB69-23CF-44E3-9099-C40C66FF867C}">
                  <a14:compatExt spid="_x0000_s16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0</xdr:rowOff>
        </xdr:from>
        <xdr:to>
          <xdr:col>24</xdr:col>
          <xdr:colOff>1838325</xdr:colOff>
          <xdr:row>45</xdr:row>
          <xdr:rowOff>200025</xdr:rowOff>
        </xdr:to>
        <xdr:sp macro="" textlink="">
          <xdr:nvSpPr>
            <xdr:cNvPr id="16454" name="Drop Down 70" hidden="1">
              <a:extLst>
                <a:ext uri="{63B3BB69-23CF-44E3-9099-C40C66FF867C}">
                  <a14:compatExt spid="_x0000_s16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xdr:row>
          <xdr:rowOff>0</xdr:rowOff>
        </xdr:from>
        <xdr:to>
          <xdr:col>24</xdr:col>
          <xdr:colOff>1838325</xdr:colOff>
          <xdr:row>47</xdr:row>
          <xdr:rowOff>200025</xdr:rowOff>
        </xdr:to>
        <xdr:sp macro="" textlink="">
          <xdr:nvSpPr>
            <xdr:cNvPr id="16455" name="Drop Down 71" hidden="1">
              <a:extLst>
                <a:ext uri="{63B3BB69-23CF-44E3-9099-C40C66FF867C}">
                  <a14:compatExt spid="_x0000_s16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49</xdr:row>
          <xdr:rowOff>0</xdr:rowOff>
        </xdr:from>
        <xdr:to>
          <xdr:col>24</xdr:col>
          <xdr:colOff>1847850</xdr:colOff>
          <xdr:row>49</xdr:row>
          <xdr:rowOff>200025</xdr:rowOff>
        </xdr:to>
        <xdr:sp macro="" textlink="">
          <xdr:nvSpPr>
            <xdr:cNvPr id="16456" name="Drop Down 72" hidden="1">
              <a:extLst>
                <a:ext uri="{63B3BB69-23CF-44E3-9099-C40C66FF867C}">
                  <a14:compatExt spid="_x0000_s16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600075</xdr:colOff>
          <xdr:row>20</xdr:row>
          <xdr:rowOff>38100</xdr:rowOff>
        </xdr:from>
        <xdr:to>
          <xdr:col>24</xdr:col>
          <xdr:colOff>1828800</xdr:colOff>
          <xdr:row>21</xdr:row>
          <xdr:rowOff>19050</xdr:rowOff>
        </xdr:to>
        <xdr:sp macro="" textlink="">
          <xdr:nvSpPr>
            <xdr:cNvPr id="16457" name="Drop Down 73" hidden="1">
              <a:extLst>
                <a:ext uri="{63B3BB69-23CF-44E3-9099-C40C66FF867C}">
                  <a14:compatExt spid="_x0000_s1645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781050</xdr:colOff>
          <xdr:row>27</xdr:row>
          <xdr:rowOff>104775</xdr:rowOff>
        </xdr:from>
        <xdr:to>
          <xdr:col>8</xdr:col>
          <xdr:colOff>409575</xdr:colOff>
          <xdr:row>29</xdr:row>
          <xdr:rowOff>85725</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27</xdr:row>
          <xdr:rowOff>85725</xdr:rowOff>
        </xdr:from>
        <xdr:to>
          <xdr:col>9</xdr:col>
          <xdr:colOff>361950</xdr:colOff>
          <xdr:row>29</xdr:row>
          <xdr:rowOff>66675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771525</xdr:colOff>
          <xdr:row>37</xdr:row>
          <xdr:rowOff>152400</xdr:rowOff>
        </xdr:from>
        <xdr:to>
          <xdr:col>8</xdr:col>
          <xdr:colOff>361950</xdr:colOff>
          <xdr:row>41</xdr:row>
          <xdr:rowOff>57150</xdr:rowOff>
        </xdr:to>
        <xdr:sp macro="" textlink="">
          <xdr:nvSpPr>
            <xdr:cNvPr id="21508" name="Button 4" hidden="1">
              <a:extLst>
                <a:ext uri="{63B3BB69-23CF-44E3-9099-C40C66FF867C}">
                  <a14:compatExt spid="_x0000_s2150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Følsomhedsanalyse ift. afstand</a:t>
              </a:r>
            </a:p>
            <a:p>
              <a:pPr algn="ctr" rtl="0">
                <a:defRPr sz="1000"/>
              </a:pPr>
              <a:r>
                <a:rPr lang="da-DK" sz="1100" b="0" i="0" u="none" strike="noStrike" baseline="0">
                  <a:solidFill>
                    <a:srgbClr val="000000"/>
                  </a:solidFill>
                  <a:latin typeface="Calibri"/>
                </a:rPr>
                <a:t>(transportomkostninger)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542925</xdr:colOff>
          <xdr:row>37</xdr:row>
          <xdr:rowOff>161925</xdr:rowOff>
        </xdr:from>
        <xdr:to>
          <xdr:col>9</xdr:col>
          <xdr:colOff>219075</xdr:colOff>
          <xdr:row>41</xdr:row>
          <xdr:rowOff>76200</xdr:rowOff>
        </xdr:to>
        <xdr:sp macro="" textlink="">
          <xdr:nvSpPr>
            <xdr:cNvPr id="21510" name="Button 6" hidden="1">
              <a:extLst>
                <a:ext uri="{63B3BB69-23CF-44E3-9099-C40C66FF867C}">
                  <a14:compatExt spid="_x0000_s2151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Følsomhedsanalyse ift. afstand</a:t>
              </a:r>
            </a:p>
            <a:p>
              <a:pPr algn="ctr" rtl="0">
                <a:defRPr sz="1000"/>
              </a:pPr>
              <a:r>
                <a:rPr lang="da-DK" sz="1100" b="0" i="0" u="none" strike="noStrike" baseline="0">
                  <a:solidFill>
                    <a:srgbClr val="000000"/>
                  </a:solidFill>
                  <a:latin typeface="Calibri"/>
                </a:rPr>
                <a:t>(totale omkostninger)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752475</xdr:colOff>
          <xdr:row>30</xdr:row>
          <xdr:rowOff>9525</xdr:rowOff>
        </xdr:from>
        <xdr:to>
          <xdr:col>8</xdr:col>
          <xdr:colOff>419100</xdr:colOff>
          <xdr:row>33</xdr:row>
          <xdr:rowOff>95250</xdr:rowOff>
        </xdr:to>
        <xdr:sp macro="" textlink="">
          <xdr:nvSpPr>
            <xdr:cNvPr id="21511" name="Button 7" hidden="1">
              <a:extLst>
                <a:ext uri="{63B3BB69-23CF-44E3-9099-C40C66FF867C}">
                  <a14:compatExt spid="_x0000_s2151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Bigballer</a:t>
              </a:r>
            </a:p>
            <a:p>
              <a:pPr algn="ctr" rtl="0">
                <a:defRPr sz="1000"/>
              </a:pPr>
              <a:r>
                <a:rPr lang="da-DK" sz="1100" b="0" i="0" u="none" strike="noStrike" baseline="0">
                  <a:solidFill>
                    <a:srgbClr val="000000"/>
                  </a:solidFill>
                  <a:latin typeface="Calibri"/>
                </a:rPr>
                <a:t>Følsomhedsanalyse ift. kapacitet</a:t>
              </a:r>
            </a:p>
            <a:p>
              <a:pPr algn="ctr" rtl="0">
                <a:defRPr sz="1000"/>
              </a:pPr>
              <a:r>
                <a:rPr lang="da-DK" sz="1100" b="0" i="0" u="none" strike="noStrike" baseline="0">
                  <a:solidFill>
                    <a:srgbClr val="000000"/>
                  </a:solidFill>
                  <a:latin typeface="Calibri"/>
                </a:rPr>
                <a:t>(transportomkostninger)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752475</xdr:colOff>
          <xdr:row>33</xdr:row>
          <xdr:rowOff>180975</xdr:rowOff>
        </xdr:from>
        <xdr:to>
          <xdr:col>8</xdr:col>
          <xdr:colOff>419100</xdr:colOff>
          <xdr:row>37</xdr:row>
          <xdr:rowOff>76200</xdr:rowOff>
        </xdr:to>
        <xdr:sp macro="" textlink="">
          <xdr:nvSpPr>
            <xdr:cNvPr id="21512" name="Button 8" hidden="1">
              <a:extLst>
                <a:ext uri="{63B3BB69-23CF-44E3-9099-C40C66FF867C}">
                  <a14:compatExt spid="_x0000_s2151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Bigballer</a:t>
              </a:r>
            </a:p>
            <a:p>
              <a:pPr algn="ctr" rtl="0">
                <a:defRPr sz="1000"/>
              </a:pPr>
              <a:r>
                <a:rPr lang="da-DK" sz="1100" b="0" i="0" u="none" strike="noStrike" baseline="0">
                  <a:solidFill>
                    <a:srgbClr val="000000"/>
                  </a:solidFill>
                  <a:latin typeface="Calibri"/>
                </a:rPr>
                <a:t>Følsomhedsanalyse ift. kapacitet</a:t>
              </a:r>
            </a:p>
            <a:p>
              <a:pPr algn="ctr" rtl="0">
                <a:defRPr sz="1000"/>
              </a:pPr>
              <a:r>
                <a:rPr lang="da-DK" sz="1100" b="0" i="0" u="none" strike="noStrike" baseline="0">
                  <a:solidFill>
                    <a:srgbClr val="000000"/>
                  </a:solidFill>
                  <a:latin typeface="Calibri"/>
                </a:rPr>
                <a:t>(totale omkostninger)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30</xdr:row>
          <xdr:rowOff>19050</xdr:rowOff>
        </xdr:from>
        <xdr:to>
          <xdr:col>10</xdr:col>
          <xdr:colOff>438150</xdr:colOff>
          <xdr:row>33</xdr:row>
          <xdr:rowOff>104775</xdr:rowOff>
        </xdr:to>
        <xdr:sp macro="" textlink="">
          <xdr:nvSpPr>
            <xdr:cNvPr id="21513" name="Button 9" hidden="1">
              <a:extLst>
                <a:ext uri="{63B3BB69-23CF-44E3-9099-C40C66FF867C}">
                  <a14:compatExt spid="_x0000_s2151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Briketter</a:t>
              </a:r>
            </a:p>
            <a:p>
              <a:pPr algn="ctr" rtl="0">
                <a:defRPr sz="1000"/>
              </a:pPr>
              <a:r>
                <a:rPr lang="da-DK" sz="1100" b="0" i="0" u="none" strike="noStrike" baseline="0">
                  <a:solidFill>
                    <a:srgbClr val="000000"/>
                  </a:solidFill>
                  <a:latin typeface="Calibri"/>
                </a:rPr>
                <a:t>Følsomhedsanalyse ift. kapacitet</a:t>
              </a:r>
            </a:p>
            <a:p>
              <a:pPr algn="ctr" rtl="0">
                <a:defRPr sz="1000"/>
              </a:pPr>
              <a:r>
                <a:rPr lang="da-DK" sz="1100" b="0" i="0" u="none" strike="noStrike" baseline="0">
                  <a:solidFill>
                    <a:srgbClr val="000000"/>
                  </a:solidFill>
                  <a:latin typeface="Calibri"/>
                </a:rPr>
                <a:t>(transportomkostninger)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34</xdr:row>
          <xdr:rowOff>0</xdr:rowOff>
        </xdr:from>
        <xdr:to>
          <xdr:col>10</xdr:col>
          <xdr:colOff>447675</xdr:colOff>
          <xdr:row>37</xdr:row>
          <xdr:rowOff>85725</xdr:rowOff>
        </xdr:to>
        <xdr:sp macro="" textlink="">
          <xdr:nvSpPr>
            <xdr:cNvPr id="21514" name="Button 10" hidden="1">
              <a:extLst>
                <a:ext uri="{63B3BB69-23CF-44E3-9099-C40C66FF867C}">
                  <a14:compatExt spid="_x0000_s215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Briketter</a:t>
              </a:r>
            </a:p>
            <a:p>
              <a:pPr algn="ctr" rtl="0">
                <a:defRPr sz="1000"/>
              </a:pPr>
              <a:r>
                <a:rPr lang="da-DK" sz="1100" b="0" i="0" u="none" strike="noStrike" baseline="0">
                  <a:solidFill>
                    <a:srgbClr val="000000"/>
                  </a:solidFill>
                  <a:latin typeface="Calibri"/>
                </a:rPr>
                <a:t>Følsomhedsanalyse ift. kapacitet</a:t>
              </a:r>
            </a:p>
            <a:p>
              <a:pPr algn="ctr" rtl="0">
                <a:defRPr sz="1000"/>
              </a:pPr>
              <a:r>
                <a:rPr lang="da-DK" sz="1100" b="0" i="0" u="none" strike="noStrike" baseline="0">
                  <a:solidFill>
                    <a:srgbClr val="000000"/>
                  </a:solidFill>
                  <a:latin typeface="Calibri"/>
                </a:rPr>
                <a:t>(totale omkostninger)</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704850</xdr:colOff>
          <xdr:row>3</xdr:row>
          <xdr:rowOff>85725</xdr:rowOff>
        </xdr:from>
        <xdr:to>
          <xdr:col>1</xdr:col>
          <xdr:colOff>238125</xdr:colOff>
          <xdr:row>4</xdr:row>
          <xdr:rowOff>95250</xdr:rowOff>
        </xdr:to>
        <xdr:sp macro="" textlink="">
          <xdr:nvSpPr>
            <xdr:cNvPr id="82946" name="Drop Down 2" hidden="1">
              <a:extLst>
                <a:ext uri="{63B3BB69-23CF-44E3-9099-C40C66FF867C}">
                  <a14:compatExt spid="_x0000_s82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1943100</xdr:colOff>
          <xdr:row>3</xdr:row>
          <xdr:rowOff>85725</xdr:rowOff>
        </xdr:from>
        <xdr:to>
          <xdr:col>8</xdr:col>
          <xdr:colOff>333375</xdr:colOff>
          <xdr:row>4</xdr:row>
          <xdr:rowOff>47625</xdr:rowOff>
        </xdr:to>
        <xdr:sp macro="" textlink="">
          <xdr:nvSpPr>
            <xdr:cNvPr id="82949" name="Drop Down 5" hidden="1">
              <a:extLst>
                <a:ext uri="{63B3BB69-23CF-44E3-9099-C40C66FF867C}">
                  <a14:compatExt spid="_x0000_s82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361950</xdr:colOff>
          <xdr:row>17</xdr:row>
          <xdr:rowOff>171450</xdr:rowOff>
        </xdr:from>
        <xdr:to>
          <xdr:col>28</xdr:col>
          <xdr:colOff>57150</xdr:colOff>
          <xdr:row>19</xdr:row>
          <xdr:rowOff>95250</xdr:rowOff>
        </xdr:to>
        <xdr:sp macro="" textlink="">
          <xdr:nvSpPr>
            <xdr:cNvPr id="82951" name="Button 7" hidden="1">
              <a:extLst>
                <a:ext uri="{63B3BB69-23CF-44E3-9099-C40C66FF867C}">
                  <a14:compatExt spid="_x0000_s829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704850</xdr:colOff>
          <xdr:row>3</xdr:row>
          <xdr:rowOff>76200</xdr:rowOff>
        </xdr:from>
        <xdr:to>
          <xdr:col>1</xdr:col>
          <xdr:colOff>123825</xdr:colOff>
          <xdr:row>4</xdr:row>
          <xdr:rowOff>38100</xdr:rowOff>
        </xdr:to>
        <xdr:sp macro="" textlink="">
          <xdr:nvSpPr>
            <xdr:cNvPr id="44034" name="Drop Down 2" hidden="1">
              <a:extLst>
                <a:ext uri="{63B3BB69-23CF-44E3-9099-C40C66FF867C}">
                  <a14:compatExt spid="_x0000_s44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142875</xdr:rowOff>
        </xdr:from>
        <xdr:to>
          <xdr:col>5</xdr:col>
          <xdr:colOff>1647825</xdr:colOff>
          <xdr:row>13</xdr:row>
          <xdr:rowOff>133350</xdr:rowOff>
        </xdr:to>
        <xdr:sp macro="" textlink="">
          <xdr:nvSpPr>
            <xdr:cNvPr id="44036" name="Drop Down 4" hidden="1">
              <a:extLst>
                <a:ext uri="{63B3BB69-23CF-44E3-9099-C40C66FF867C}">
                  <a14:compatExt spid="_x0000_s44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47625</xdr:rowOff>
        </xdr:from>
        <xdr:to>
          <xdr:col>5</xdr:col>
          <xdr:colOff>1571625</xdr:colOff>
          <xdr:row>27</xdr:row>
          <xdr:rowOff>38100</xdr:rowOff>
        </xdr:to>
        <xdr:sp macro="" textlink="">
          <xdr:nvSpPr>
            <xdr:cNvPr id="44037" name="Drop Down 5" hidden="1">
              <a:extLst>
                <a:ext uri="{63B3BB69-23CF-44E3-9099-C40C66FF867C}">
                  <a14:compatExt spid="_x0000_s44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32</xdr:row>
          <xdr:rowOff>85725</xdr:rowOff>
        </xdr:from>
        <xdr:to>
          <xdr:col>15</xdr:col>
          <xdr:colOff>2095500</xdr:colOff>
          <xdr:row>34</xdr:row>
          <xdr:rowOff>19050</xdr:rowOff>
        </xdr:to>
        <xdr:sp macro="" textlink="">
          <xdr:nvSpPr>
            <xdr:cNvPr id="44038" name="Button 6" hidden="1">
              <a:extLst>
                <a:ext uri="{63B3BB69-23CF-44E3-9099-C40C66FF867C}">
                  <a14:compatExt spid="_x0000_s4403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Beregn resultater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34</xdr:row>
          <xdr:rowOff>104775</xdr:rowOff>
        </xdr:from>
        <xdr:to>
          <xdr:col>15</xdr:col>
          <xdr:colOff>2095500</xdr:colOff>
          <xdr:row>36</xdr:row>
          <xdr:rowOff>28575</xdr:rowOff>
        </xdr:to>
        <xdr:sp macro="" textlink="">
          <xdr:nvSpPr>
            <xdr:cNvPr id="44039" name="Button 7" hidden="1">
              <a:extLst>
                <a:ext uri="{63B3BB69-23CF-44E3-9099-C40C66FF867C}">
                  <a14:compatExt spid="_x0000_s4403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161925</xdr:rowOff>
        </xdr:from>
        <xdr:to>
          <xdr:col>13</xdr:col>
          <xdr:colOff>390525</xdr:colOff>
          <xdr:row>23</xdr:row>
          <xdr:rowOff>9525</xdr:rowOff>
        </xdr:to>
        <xdr:sp macro="" textlink="">
          <xdr:nvSpPr>
            <xdr:cNvPr id="44042" name="Drop Down 10" hidden="1">
              <a:extLst>
                <a:ext uri="{63B3BB69-23CF-44E3-9099-C40C66FF867C}">
                  <a14:compatExt spid="_x0000_s44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4</xdr:row>
          <xdr:rowOff>47625</xdr:rowOff>
        </xdr:from>
        <xdr:to>
          <xdr:col>13</xdr:col>
          <xdr:colOff>152400</xdr:colOff>
          <xdr:row>5</xdr:row>
          <xdr:rowOff>57150</xdr:rowOff>
        </xdr:to>
        <xdr:sp macro="" textlink="">
          <xdr:nvSpPr>
            <xdr:cNvPr id="44051" name="Drop Down 19" hidden="1">
              <a:extLst>
                <a:ext uri="{63B3BB69-23CF-44E3-9099-C40C66FF867C}">
                  <a14:compatExt spid="_x0000_s44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161925</xdr:rowOff>
        </xdr:from>
        <xdr:to>
          <xdr:col>13</xdr:col>
          <xdr:colOff>390525</xdr:colOff>
          <xdr:row>37</xdr:row>
          <xdr:rowOff>9525</xdr:rowOff>
        </xdr:to>
        <xdr:sp macro="" textlink="">
          <xdr:nvSpPr>
            <xdr:cNvPr id="44054" name="Drop Down 22" hidden="1">
              <a:extLst>
                <a:ext uri="{63B3BB69-23CF-44E3-9099-C40C66FF867C}">
                  <a14:compatExt spid="_x0000_s4405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23</xdr:row>
          <xdr:rowOff>142875</xdr:rowOff>
        </xdr:from>
        <xdr:to>
          <xdr:col>1</xdr:col>
          <xdr:colOff>1000125</xdr:colOff>
          <xdr:row>25</xdr:row>
          <xdr:rowOff>104775</xdr:rowOff>
        </xdr:to>
        <xdr:sp macro="" textlink="">
          <xdr:nvSpPr>
            <xdr:cNvPr id="174081" name="Button 1" hidden="1">
              <a:extLst>
                <a:ext uri="{63B3BB69-23CF-44E3-9099-C40C66FF867C}">
                  <a14:compatExt spid="_x0000_s1740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26</xdr:row>
          <xdr:rowOff>47625</xdr:rowOff>
        </xdr:from>
        <xdr:to>
          <xdr:col>1</xdr:col>
          <xdr:colOff>1009650</xdr:colOff>
          <xdr:row>28</xdr:row>
          <xdr:rowOff>9525</xdr:rowOff>
        </xdr:to>
        <xdr:sp macro="" textlink="">
          <xdr:nvSpPr>
            <xdr:cNvPr id="174082" name="Button 2" hidden="1">
              <a:extLst>
                <a:ext uri="{63B3BB69-23CF-44E3-9099-C40C66FF867C}">
                  <a14:compatExt spid="_x0000_s1740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24</xdr:row>
          <xdr:rowOff>142875</xdr:rowOff>
        </xdr:from>
        <xdr:to>
          <xdr:col>1</xdr:col>
          <xdr:colOff>1000125</xdr:colOff>
          <xdr:row>26</xdr:row>
          <xdr:rowOff>104775</xdr:rowOff>
        </xdr:to>
        <xdr:sp macro="" textlink="">
          <xdr:nvSpPr>
            <xdr:cNvPr id="50177" name="Button 1" hidden="1">
              <a:extLst>
                <a:ext uri="{63B3BB69-23CF-44E3-9099-C40C66FF867C}">
                  <a14:compatExt spid="_x0000_s501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27</xdr:row>
          <xdr:rowOff>47625</xdr:rowOff>
        </xdr:from>
        <xdr:to>
          <xdr:col>1</xdr:col>
          <xdr:colOff>1009650</xdr:colOff>
          <xdr:row>29</xdr:row>
          <xdr:rowOff>9525</xdr:rowOff>
        </xdr:to>
        <xdr:sp macro="" textlink="">
          <xdr:nvSpPr>
            <xdr:cNvPr id="50178" name="Button 2" hidden="1">
              <a:extLst>
                <a:ext uri="{63B3BB69-23CF-44E3-9099-C40C66FF867C}">
                  <a14:compatExt spid="_x0000_s501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11</xdr:row>
          <xdr:rowOff>104775</xdr:rowOff>
        </xdr:from>
        <xdr:to>
          <xdr:col>0</xdr:col>
          <xdr:colOff>1943100</xdr:colOff>
          <xdr:row>12</xdr:row>
          <xdr:rowOff>95250</xdr:rowOff>
        </xdr:to>
        <xdr:sp macro="" textlink="">
          <xdr:nvSpPr>
            <xdr:cNvPr id="30722" name="Drop Down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85725</xdr:rowOff>
        </xdr:from>
        <xdr:to>
          <xdr:col>0</xdr:col>
          <xdr:colOff>1924050</xdr:colOff>
          <xdr:row>20</xdr:row>
          <xdr:rowOff>85725</xdr:rowOff>
        </xdr:to>
        <xdr:sp macro="" textlink="">
          <xdr:nvSpPr>
            <xdr:cNvPr id="30725" name="Drop Down 5"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114300</xdr:rowOff>
        </xdr:from>
        <xdr:to>
          <xdr:col>6</xdr:col>
          <xdr:colOff>381000</xdr:colOff>
          <xdr:row>29</xdr:row>
          <xdr:rowOff>85725</xdr:rowOff>
        </xdr:to>
        <xdr:sp macro="" textlink="">
          <xdr:nvSpPr>
            <xdr:cNvPr id="30726" name="Button 6" hidden="1">
              <a:extLst>
                <a:ext uri="{63B3BB69-23CF-44E3-9099-C40C66FF867C}">
                  <a14:compatExt spid="_x0000_s307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Beregn resultater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29</xdr:row>
          <xdr:rowOff>152400</xdr:rowOff>
        </xdr:from>
        <xdr:to>
          <xdr:col>6</xdr:col>
          <xdr:colOff>390525</xdr:colOff>
          <xdr:row>31</xdr:row>
          <xdr:rowOff>123825</xdr:rowOff>
        </xdr:to>
        <xdr:sp macro="" textlink="">
          <xdr:nvSpPr>
            <xdr:cNvPr id="30727" name="Button 7" hidden="1">
              <a:extLst>
                <a:ext uri="{63B3BB69-23CF-44E3-9099-C40C66FF867C}">
                  <a14:compatExt spid="_x0000_s307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7</xdr:row>
          <xdr:rowOff>0</xdr:rowOff>
        </xdr:from>
        <xdr:to>
          <xdr:col>6</xdr:col>
          <xdr:colOff>28575</xdr:colOff>
          <xdr:row>7</xdr:row>
          <xdr:rowOff>200025</xdr:rowOff>
        </xdr:to>
        <xdr:sp macro="" textlink="">
          <xdr:nvSpPr>
            <xdr:cNvPr id="30730" name="Drop Down 10" hidden="1">
              <a:extLst>
                <a:ext uri="{63B3BB69-23CF-44E3-9099-C40C66FF867C}">
                  <a14:compatExt spid="_x0000_s30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8</xdr:row>
          <xdr:rowOff>28575</xdr:rowOff>
        </xdr:from>
        <xdr:to>
          <xdr:col>6</xdr:col>
          <xdr:colOff>28575</xdr:colOff>
          <xdr:row>9</xdr:row>
          <xdr:rowOff>19050</xdr:rowOff>
        </xdr:to>
        <xdr:sp macro="" textlink="">
          <xdr:nvSpPr>
            <xdr:cNvPr id="30731" name="Drop Down 11" hidden="1">
              <a:extLst>
                <a:ext uri="{63B3BB69-23CF-44E3-9099-C40C66FF867C}">
                  <a14:compatExt spid="_x0000_s30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17</xdr:row>
          <xdr:rowOff>0</xdr:rowOff>
        </xdr:from>
        <xdr:to>
          <xdr:col>6</xdr:col>
          <xdr:colOff>28575</xdr:colOff>
          <xdr:row>18</xdr:row>
          <xdr:rowOff>0</xdr:rowOff>
        </xdr:to>
        <xdr:sp macro="" textlink="">
          <xdr:nvSpPr>
            <xdr:cNvPr id="30732" name="Drop Down 12" hidden="1">
              <a:extLst>
                <a:ext uri="{63B3BB69-23CF-44E3-9099-C40C66FF867C}">
                  <a14:compatExt spid="_x0000_s30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18</xdr:row>
          <xdr:rowOff>28575</xdr:rowOff>
        </xdr:from>
        <xdr:to>
          <xdr:col>6</xdr:col>
          <xdr:colOff>28575</xdr:colOff>
          <xdr:row>19</xdr:row>
          <xdr:rowOff>19050</xdr:rowOff>
        </xdr:to>
        <xdr:sp macro="" textlink="">
          <xdr:nvSpPr>
            <xdr:cNvPr id="30733" name="Drop Down 13" hidden="1">
              <a:extLst>
                <a:ext uri="{63B3BB69-23CF-44E3-9099-C40C66FF867C}">
                  <a14:compatExt spid="_x0000_s3073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1028700</xdr:colOff>
          <xdr:row>3</xdr:row>
          <xdr:rowOff>104775</xdr:rowOff>
        </xdr:from>
        <xdr:to>
          <xdr:col>10</xdr:col>
          <xdr:colOff>180975</xdr:colOff>
          <xdr:row>4</xdr:row>
          <xdr:rowOff>76200</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Sæt flueben hvis ekstrudering ønskes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1</xdr:col>
          <xdr:colOff>304800</xdr:colOff>
          <xdr:row>14</xdr:row>
          <xdr:rowOff>38100</xdr:rowOff>
        </xdr:to>
        <xdr:sp macro="" textlink="">
          <xdr:nvSpPr>
            <xdr:cNvPr id="36866" name="Drop Down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76200</xdr:rowOff>
        </xdr:from>
        <xdr:to>
          <xdr:col>1</xdr:col>
          <xdr:colOff>295275</xdr:colOff>
          <xdr:row>22</xdr:row>
          <xdr:rowOff>66675</xdr:rowOff>
        </xdr:to>
        <xdr:sp macro="" textlink="">
          <xdr:nvSpPr>
            <xdr:cNvPr id="36869" name="Drop Down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590550</xdr:colOff>
          <xdr:row>14</xdr:row>
          <xdr:rowOff>19050</xdr:rowOff>
        </xdr:from>
        <xdr:to>
          <xdr:col>10</xdr:col>
          <xdr:colOff>619125</xdr:colOff>
          <xdr:row>15</xdr:row>
          <xdr:rowOff>180975</xdr:rowOff>
        </xdr:to>
        <xdr:sp macro="" textlink="">
          <xdr:nvSpPr>
            <xdr:cNvPr id="36870" name="Button 6" hidden="1">
              <a:extLst>
                <a:ext uri="{63B3BB69-23CF-44E3-9099-C40C66FF867C}">
                  <a14:compatExt spid="_x0000_s3687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Beregn resultater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590550</xdr:colOff>
          <xdr:row>16</xdr:row>
          <xdr:rowOff>104775</xdr:rowOff>
        </xdr:from>
        <xdr:to>
          <xdr:col>10</xdr:col>
          <xdr:colOff>619125</xdr:colOff>
          <xdr:row>18</xdr:row>
          <xdr:rowOff>76200</xdr:rowOff>
        </xdr:to>
        <xdr:sp macro="" textlink="">
          <xdr:nvSpPr>
            <xdr:cNvPr id="36871" name="Button 7" hidden="1">
              <a:extLst>
                <a:ext uri="{63B3BB69-23CF-44E3-9099-C40C66FF867C}">
                  <a14:compatExt spid="_x0000_s3687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hovedmenu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7</xdr:row>
          <xdr:rowOff>0</xdr:rowOff>
        </xdr:from>
        <xdr:to>
          <xdr:col>6</xdr:col>
          <xdr:colOff>285750</xdr:colOff>
          <xdr:row>7</xdr:row>
          <xdr:rowOff>200025</xdr:rowOff>
        </xdr:to>
        <xdr:sp macro="" textlink="">
          <xdr:nvSpPr>
            <xdr:cNvPr id="36872" name="Drop Down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8</xdr:row>
          <xdr:rowOff>57150</xdr:rowOff>
        </xdr:from>
        <xdr:to>
          <xdr:col>6</xdr:col>
          <xdr:colOff>285750</xdr:colOff>
          <xdr:row>9</xdr:row>
          <xdr:rowOff>47625</xdr:rowOff>
        </xdr:to>
        <xdr:sp macro="" textlink="">
          <xdr:nvSpPr>
            <xdr:cNvPr id="36873" name="Drop Down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17</xdr:row>
          <xdr:rowOff>0</xdr:rowOff>
        </xdr:from>
        <xdr:to>
          <xdr:col>6</xdr:col>
          <xdr:colOff>285750</xdr:colOff>
          <xdr:row>17</xdr:row>
          <xdr:rowOff>200025</xdr:rowOff>
        </xdr:to>
        <xdr:sp macro="" textlink="">
          <xdr:nvSpPr>
            <xdr:cNvPr id="36874" name="Drop Down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18</xdr:row>
          <xdr:rowOff>28575</xdr:rowOff>
        </xdr:from>
        <xdr:to>
          <xdr:col>6</xdr:col>
          <xdr:colOff>285750</xdr:colOff>
          <xdr:row>19</xdr:row>
          <xdr:rowOff>19050</xdr:rowOff>
        </xdr:to>
        <xdr:sp macro="" textlink="">
          <xdr:nvSpPr>
            <xdr:cNvPr id="36875" name="Drop Down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p\AppData\Local\Microsoft\Windows\Temporary%20Internet%20Files\Content.Outlook\FTRVPMA0\&#216;konomimodel_Kopi\KOPI_S&#248;rensmodel_Efterafgr&#248;der_Biogas_&#229;bn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terafgr"/>
      <sheetName val="Normer"/>
      <sheetName val="Data"/>
      <sheetName val="Ark3"/>
      <sheetName val="Ark1"/>
    </sheetNames>
    <sheetDataSet>
      <sheetData sheetId="0"/>
      <sheetData sheetId="1"/>
      <sheetData sheetId="2">
        <row r="26">
          <cell r="B26">
            <v>1</v>
          </cell>
        </row>
        <row r="27">
          <cell r="B27">
            <v>2</v>
          </cell>
          <cell r="C27" t="str">
            <v>Ital. Rajgræs</v>
          </cell>
          <cell r="E27">
            <v>900</v>
          </cell>
          <cell r="F27">
            <v>900</v>
          </cell>
          <cell r="G27">
            <v>1100</v>
          </cell>
          <cell r="H27">
            <v>900</v>
          </cell>
          <cell r="I27">
            <v>900</v>
          </cell>
          <cell r="J27">
            <v>1600</v>
          </cell>
          <cell r="K27">
            <v>1600</v>
          </cell>
          <cell r="L27">
            <v>1800</v>
          </cell>
          <cell r="M27">
            <v>1600</v>
          </cell>
          <cell r="N27">
            <v>1600</v>
          </cell>
          <cell r="O27">
            <v>300</v>
          </cell>
          <cell r="P27">
            <v>24</v>
          </cell>
          <cell r="Q27">
            <v>10</v>
          </cell>
          <cell r="R27">
            <v>52</v>
          </cell>
          <cell r="S27">
            <v>52</v>
          </cell>
          <cell r="T27">
            <v>53</v>
          </cell>
          <cell r="U27">
            <v>52</v>
          </cell>
          <cell r="V27">
            <v>52</v>
          </cell>
          <cell r="W27">
            <v>17</v>
          </cell>
          <cell r="X27">
            <v>25</v>
          </cell>
          <cell r="AA27">
            <v>120</v>
          </cell>
          <cell r="AB27">
            <v>220</v>
          </cell>
          <cell r="AC27">
            <v>200</v>
          </cell>
          <cell r="AD27">
            <v>150</v>
          </cell>
          <cell r="AE27">
            <v>300</v>
          </cell>
          <cell r="AI27">
            <v>16.2</v>
          </cell>
          <cell r="AJ27">
            <v>0.35</v>
          </cell>
          <cell r="AK27">
            <v>2.9</v>
          </cell>
          <cell r="AL27">
            <v>0</v>
          </cell>
          <cell r="AM27">
            <v>50</v>
          </cell>
          <cell r="AN27">
            <v>2</v>
          </cell>
          <cell r="AO27">
            <v>100</v>
          </cell>
          <cell r="AP27">
            <v>0.8</v>
          </cell>
          <cell r="AQ27">
            <v>-1.9E-2</v>
          </cell>
          <cell r="AR27">
            <v>3.0760000000000001</v>
          </cell>
          <cell r="AS27">
            <v>0.42</v>
          </cell>
          <cell r="AT27">
            <v>0.44</v>
          </cell>
          <cell r="AU27">
            <v>0.48</v>
          </cell>
          <cell r="AV27">
            <v>0.51</v>
          </cell>
        </row>
        <row r="28">
          <cell r="B28">
            <v>3</v>
          </cell>
          <cell r="C28" t="str">
            <v>Alm. Rajgræs</v>
          </cell>
          <cell r="E28">
            <v>600</v>
          </cell>
          <cell r="F28">
            <v>600</v>
          </cell>
          <cell r="G28">
            <v>800</v>
          </cell>
          <cell r="H28">
            <v>600</v>
          </cell>
          <cell r="I28">
            <v>600</v>
          </cell>
          <cell r="J28">
            <v>1200</v>
          </cell>
          <cell r="K28">
            <v>1200</v>
          </cell>
          <cell r="L28">
            <v>1400</v>
          </cell>
          <cell r="M28">
            <v>1200</v>
          </cell>
          <cell r="N28">
            <v>1200</v>
          </cell>
          <cell r="O28">
            <v>300</v>
          </cell>
          <cell r="P28">
            <v>24</v>
          </cell>
          <cell r="Q28">
            <v>10</v>
          </cell>
          <cell r="R28">
            <v>52</v>
          </cell>
          <cell r="S28">
            <v>52</v>
          </cell>
          <cell r="T28">
            <v>53</v>
          </cell>
          <cell r="U28">
            <v>52</v>
          </cell>
          <cell r="V28">
            <v>52</v>
          </cell>
          <cell r="W28">
            <v>17</v>
          </cell>
          <cell r="X28">
            <v>25</v>
          </cell>
          <cell r="AA28">
            <v>120</v>
          </cell>
          <cell r="AB28">
            <v>220</v>
          </cell>
          <cell r="AC28">
            <v>200</v>
          </cell>
          <cell r="AD28">
            <v>150</v>
          </cell>
          <cell r="AE28">
            <v>300</v>
          </cell>
          <cell r="AI28">
            <v>16.2</v>
          </cell>
          <cell r="AJ28">
            <v>0.35</v>
          </cell>
          <cell r="AK28">
            <v>2.9</v>
          </cell>
          <cell r="AL28">
            <v>0</v>
          </cell>
          <cell r="AM28">
            <v>50</v>
          </cell>
          <cell r="AN28">
            <v>0</v>
          </cell>
          <cell r="AO28">
            <v>70</v>
          </cell>
          <cell r="AP28">
            <v>0.8</v>
          </cell>
          <cell r="AQ28">
            <v>-1.9E-2</v>
          </cell>
          <cell r="AR28">
            <v>3.0760000000000001</v>
          </cell>
          <cell r="AS28">
            <v>0.42</v>
          </cell>
          <cell r="AT28">
            <v>0.44</v>
          </cell>
          <cell r="AU28">
            <v>0.48</v>
          </cell>
          <cell r="AV28">
            <v>0.51</v>
          </cell>
        </row>
        <row r="29">
          <cell r="B29">
            <v>4</v>
          </cell>
          <cell r="C29" t="str">
            <v>Olieræddike</v>
          </cell>
          <cell r="E29">
            <v>700</v>
          </cell>
          <cell r="F29">
            <v>700</v>
          </cell>
          <cell r="G29">
            <v>700</v>
          </cell>
          <cell r="H29">
            <v>700</v>
          </cell>
          <cell r="I29">
            <v>700</v>
          </cell>
          <cell r="J29">
            <v>700</v>
          </cell>
          <cell r="K29">
            <v>700</v>
          </cell>
          <cell r="L29">
            <v>700</v>
          </cell>
          <cell r="M29">
            <v>700</v>
          </cell>
          <cell r="N29">
            <v>700</v>
          </cell>
          <cell r="O29">
            <v>300</v>
          </cell>
          <cell r="P29">
            <v>15</v>
          </cell>
          <cell r="Q29">
            <v>10</v>
          </cell>
          <cell r="R29">
            <v>0</v>
          </cell>
          <cell r="S29">
            <v>0</v>
          </cell>
          <cell r="T29">
            <v>0</v>
          </cell>
          <cell r="U29">
            <v>0</v>
          </cell>
          <cell r="V29">
            <v>0</v>
          </cell>
          <cell r="W29">
            <v>17</v>
          </cell>
          <cell r="X29">
            <v>25</v>
          </cell>
          <cell r="AA29">
            <v>120</v>
          </cell>
          <cell r="AB29">
            <v>220</v>
          </cell>
          <cell r="AC29">
            <v>200</v>
          </cell>
          <cell r="AD29">
            <v>150</v>
          </cell>
          <cell r="AE29">
            <v>300</v>
          </cell>
          <cell r="AI29">
            <v>25</v>
          </cell>
          <cell r="AJ29">
            <v>0.53</v>
          </cell>
          <cell r="AK29">
            <v>4.4000000000000004</v>
          </cell>
          <cell r="AL29">
            <v>0</v>
          </cell>
          <cell r="AM29">
            <v>140</v>
          </cell>
          <cell r="AN29">
            <v>0</v>
          </cell>
        </row>
        <row r="30">
          <cell r="B30">
            <v>5</v>
          </cell>
          <cell r="C30" t="str">
            <v>Gul sennep</v>
          </cell>
          <cell r="E30">
            <v>700</v>
          </cell>
          <cell r="F30">
            <v>700</v>
          </cell>
          <cell r="G30">
            <v>700</v>
          </cell>
          <cell r="H30">
            <v>700</v>
          </cell>
          <cell r="I30">
            <v>700</v>
          </cell>
          <cell r="J30">
            <v>700</v>
          </cell>
          <cell r="K30">
            <v>700</v>
          </cell>
          <cell r="L30">
            <v>700</v>
          </cell>
          <cell r="M30">
            <v>700</v>
          </cell>
          <cell r="N30">
            <v>700</v>
          </cell>
          <cell r="O30">
            <v>300</v>
          </cell>
          <cell r="P30">
            <v>15</v>
          </cell>
          <cell r="Q30">
            <v>10</v>
          </cell>
          <cell r="R30">
            <v>0</v>
          </cell>
          <cell r="S30">
            <v>0</v>
          </cell>
          <cell r="T30">
            <v>0</v>
          </cell>
          <cell r="U30">
            <v>0</v>
          </cell>
          <cell r="V30">
            <v>0</v>
          </cell>
          <cell r="W30">
            <v>17</v>
          </cell>
          <cell r="X30">
            <v>25</v>
          </cell>
          <cell r="AA30">
            <v>120</v>
          </cell>
          <cell r="AB30">
            <v>220</v>
          </cell>
          <cell r="AC30">
            <v>200</v>
          </cell>
          <cell r="AD30">
            <v>150</v>
          </cell>
          <cell r="AE30">
            <v>300</v>
          </cell>
          <cell r="AI30">
            <v>25</v>
          </cell>
          <cell r="AJ30">
            <v>0.53</v>
          </cell>
          <cell r="AK30">
            <v>4.4000000000000004</v>
          </cell>
          <cell r="AL30">
            <v>0</v>
          </cell>
          <cell r="AM30">
            <v>140</v>
          </cell>
          <cell r="AN30">
            <v>0</v>
          </cell>
        </row>
        <row r="31">
          <cell r="B31">
            <v>6</v>
          </cell>
          <cell r="C31" t="str">
            <v>Frøgræs</v>
          </cell>
          <cell r="E31">
            <v>900</v>
          </cell>
          <cell r="F31">
            <v>900</v>
          </cell>
          <cell r="G31">
            <v>1100</v>
          </cell>
          <cell r="H31">
            <v>900</v>
          </cell>
          <cell r="I31">
            <v>900</v>
          </cell>
          <cell r="J31">
            <v>1600</v>
          </cell>
          <cell r="K31">
            <v>1600</v>
          </cell>
          <cell r="L31">
            <v>1800</v>
          </cell>
          <cell r="M31">
            <v>1600</v>
          </cell>
          <cell r="N31">
            <v>1600</v>
          </cell>
          <cell r="O31">
            <v>300</v>
          </cell>
          <cell r="P31">
            <v>24</v>
          </cell>
          <cell r="Q31">
            <v>10</v>
          </cell>
          <cell r="R31">
            <v>52</v>
          </cell>
          <cell r="S31">
            <v>52</v>
          </cell>
          <cell r="T31">
            <v>53</v>
          </cell>
          <cell r="U31">
            <v>52</v>
          </cell>
          <cell r="V31">
            <v>52</v>
          </cell>
          <cell r="W31">
            <v>17</v>
          </cell>
          <cell r="X31">
            <v>25</v>
          </cell>
          <cell r="AA31">
            <v>120</v>
          </cell>
          <cell r="AB31">
            <v>220</v>
          </cell>
          <cell r="AC31">
            <v>200</v>
          </cell>
          <cell r="AD31">
            <v>150</v>
          </cell>
          <cell r="AE31">
            <v>300</v>
          </cell>
          <cell r="AI31">
            <v>16.2</v>
          </cell>
          <cell r="AJ31">
            <v>0.35</v>
          </cell>
          <cell r="AK31">
            <v>2.9</v>
          </cell>
          <cell r="AL31">
            <v>0</v>
          </cell>
          <cell r="AM31">
            <v>0</v>
          </cell>
          <cell r="AN31">
            <v>0</v>
          </cell>
          <cell r="AO31">
            <v>70</v>
          </cell>
          <cell r="AP31">
            <v>0.8</v>
          </cell>
          <cell r="AQ31">
            <v>-1.9E-2</v>
          </cell>
          <cell r="AR31">
            <v>3.0760000000000001</v>
          </cell>
          <cell r="AS31">
            <v>0.42</v>
          </cell>
          <cell r="AT31">
            <v>0.44</v>
          </cell>
          <cell r="AU31">
            <v>0.48</v>
          </cell>
          <cell r="AV31">
            <v>0.51</v>
          </cell>
        </row>
        <row r="36">
          <cell r="B36">
            <v>1</v>
          </cell>
          <cell r="C36" t="str">
            <v>Pligtig efterafgrøde</v>
          </cell>
        </row>
        <row r="37">
          <cell r="B37">
            <v>2</v>
          </cell>
          <cell r="C37" t="str">
            <v>Frivillig efterafgrøde</v>
          </cell>
        </row>
        <row r="41">
          <cell r="B41">
            <v>1</v>
          </cell>
          <cell r="C41" t="str">
            <v>JB 1+3</v>
          </cell>
        </row>
        <row r="42">
          <cell r="B42">
            <v>2</v>
          </cell>
          <cell r="C42" t="str">
            <v>JB 2+4</v>
          </cell>
        </row>
        <row r="43">
          <cell r="B43">
            <v>3</v>
          </cell>
          <cell r="C43" t="str">
            <v>JB 1-4 vandet</v>
          </cell>
        </row>
        <row r="44">
          <cell r="B44">
            <v>4</v>
          </cell>
          <cell r="C44" t="str">
            <v>JB 5-6</v>
          </cell>
        </row>
        <row r="45">
          <cell r="B45">
            <v>5</v>
          </cell>
          <cell r="C45" t="str">
            <v>JB 7-9</v>
          </cell>
        </row>
        <row r="51">
          <cell r="B51">
            <v>1</v>
          </cell>
          <cell r="C51" t="str">
            <v>Ingen</v>
          </cell>
          <cell r="D51">
            <v>0</v>
          </cell>
          <cell r="E51">
            <v>0</v>
          </cell>
          <cell r="F51">
            <v>0</v>
          </cell>
          <cell r="G51">
            <v>0</v>
          </cell>
        </row>
        <row r="52">
          <cell r="B52">
            <v>2</v>
          </cell>
          <cell r="C52" t="str">
            <v>0,1 DE svin</v>
          </cell>
          <cell r="D52">
            <v>0.1</v>
          </cell>
          <cell r="E52">
            <v>0</v>
          </cell>
          <cell r="F52">
            <v>0</v>
          </cell>
          <cell r="G52">
            <v>0</v>
          </cell>
        </row>
        <row r="53">
          <cell r="B53">
            <v>3</v>
          </cell>
          <cell r="C53" t="str">
            <v>0,1 DE kvæg</v>
          </cell>
          <cell r="D53">
            <v>0.1</v>
          </cell>
          <cell r="E53">
            <v>0</v>
          </cell>
          <cell r="F53">
            <v>0</v>
          </cell>
          <cell r="G53">
            <v>0</v>
          </cell>
        </row>
        <row r="54">
          <cell r="B54">
            <v>4</v>
          </cell>
          <cell r="C54" t="str">
            <v>0,2 DE svin</v>
          </cell>
          <cell r="D54">
            <v>0.2</v>
          </cell>
          <cell r="E54">
            <v>0</v>
          </cell>
          <cell r="F54">
            <v>0</v>
          </cell>
          <cell r="G54">
            <v>0</v>
          </cell>
        </row>
        <row r="55">
          <cell r="B55">
            <v>5</v>
          </cell>
          <cell r="C55" t="str">
            <v>0,2 DE kvæg</v>
          </cell>
          <cell r="D55">
            <v>0.2</v>
          </cell>
          <cell r="E55">
            <v>0</v>
          </cell>
          <cell r="F55">
            <v>0</v>
          </cell>
          <cell r="G55">
            <v>0</v>
          </cell>
        </row>
        <row r="56">
          <cell r="B56">
            <v>6</v>
          </cell>
          <cell r="C56" t="str">
            <v>0,3 DE svin</v>
          </cell>
          <cell r="D56">
            <v>0.3</v>
          </cell>
          <cell r="E56">
            <v>0</v>
          </cell>
          <cell r="F56">
            <v>0</v>
          </cell>
          <cell r="G56">
            <v>0</v>
          </cell>
        </row>
        <row r="57">
          <cell r="B57">
            <v>7</v>
          </cell>
          <cell r="C57" t="str">
            <v>0,3 DE kvæg</v>
          </cell>
          <cell r="D57">
            <v>0.3</v>
          </cell>
          <cell r="E57">
            <v>0</v>
          </cell>
          <cell r="F57">
            <v>0</v>
          </cell>
          <cell r="G57">
            <v>0</v>
          </cell>
        </row>
        <row r="58">
          <cell r="B58">
            <v>8</v>
          </cell>
          <cell r="C58" t="str">
            <v>0,4 DE svin</v>
          </cell>
          <cell r="D58">
            <v>0.4</v>
          </cell>
          <cell r="E58">
            <v>0</v>
          </cell>
          <cell r="F58">
            <v>0</v>
          </cell>
          <cell r="G58">
            <v>0</v>
          </cell>
        </row>
        <row r="59">
          <cell r="B59">
            <v>9</v>
          </cell>
          <cell r="C59" t="str">
            <v>0,4 DE kvæg</v>
          </cell>
          <cell r="D59">
            <v>0.4</v>
          </cell>
          <cell r="E59">
            <v>0</v>
          </cell>
          <cell r="F59">
            <v>0</v>
          </cell>
          <cell r="G59">
            <v>0</v>
          </cell>
        </row>
        <row r="60">
          <cell r="B60">
            <v>10</v>
          </cell>
          <cell r="C60" t="str">
            <v>0,5 DE svin</v>
          </cell>
          <cell r="D60">
            <v>0.5</v>
          </cell>
          <cell r="E60">
            <v>0</v>
          </cell>
          <cell r="F60">
            <v>0</v>
          </cell>
          <cell r="G60">
            <v>0</v>
          </cell>
        </row>
        <row r="61">
          <cell r="B61">
            <v>11</v>
          </cell>
          <cell r="C61" t="str">
            <v>0,5 DE kvæg</v>
          </cell>
          <cell r="D61">
            <v>0.5</v>
          </cell>
          <cell r="E61">
            <v>0</v>
          </cell>
          <cell r="F61">
            <v>0</v>
          </cell>
          <cell r="G61">
            <v>0</v>
          </cell>
        </row>
        <row r="62">
          <cell r="B62">
            <v>12</v>
          </cell>
          <cell r="C62" t="str">
            <v>0,6 DE svin</v>
          </cell>
          <cell r="D62">
            <v>0.6</v>
          </cell>
          <cell r="E62">
            <v>0</v>
          </cell>
          <cell r="F62">
            <v>0</v>
          </cell>
          <cell r="G62">
            <v>0</v>
          </cell>
        </row>
        <row r="63">
          <cell r="B63">
            <v>13</v>
          </cell>
          <cell r="C63" t="str">
            <v>0,6 DE kvæg</v>
          </cell>
          <cell r="D63">
            <v>0.6</v>
          </cell>
          <cell r="E63">
            <v>0</v>
          </cell>
          <cell r="F63">
            <v>0</v>
          </cell>
          <cell r="G63">
            <v>0</v>
          </cell>
        </row>
        <row r="64">
          <cell r="B64">
            <v>14</v>
          </cell>
          <cell r="C64" t="str">
            <v>0,7 DE svin</v>
          </cell>
          <cell r="D64">
            <v>0.7</v>
          </cell>
          <cell r="E64">
            <v>0</v>
          </cell>
          <cell r="F64">
            <v>0</v>
          </cell>
          <cell r="G64">
            <v>0</v>
          </cell>
        </row>
        <row r="65">
          <cell r="B65">
            <v>15</v>
          </cell>
          <cell r="C65" t="str">
            <v>0,7 DE kvæg</v>
          </cell>
          <cell r="D65">
            <v>0.7</v>
          </cell>
          <cell r="E65">
            <v>0</v>
          </cell>
          <cell r="F65">
            <v>0</v>
          </cell>
          <cell r="G65">
            <v>0</v>
          </cell>
        </row>
        <row r="66">
          <cell r="B66">
            <v>16</v>
          </cell>
          <cell r="C66" t="str">
            <v>0,8 DE svin</v>
          </cell>
          <cell r="D66">
            <v>0.8</v>
          </cell>
          <cell r="E66">
            <v>0</v>
          </cell>
          <cell r="F66">
            <v>0</v>
          </cell>
          <cell r="G66">
            <v>0</v>
          </cell>
        </row>
        <row r="67">
          <cell r="B67">
            <v>17</v>
          </cell>
          <cell r="C67" t="str">
            <v>0,8 DE kvæg</v>
          </cell>
          <cell r="D67">
            <v>0.8</v>
          </cell>
          <cell r="E67">
            <v>0</v>
          </cell>
          <cell r="F67">
            <v>0</v>
          </cell>
          <cell r="G67">
            <v>0</v>
          </cell>
        </row>
        <row r="68">
          <cell r="B68">
            <v>18</v>
          </cell>
          <cell r="C68" t="str">
            <v>0,9 DE svin</v>
          </cell>
          <cell r="D68">
            <v>0.9</v>
          </cell>
          <cell r="E68">
            <v>0</v>
          </cell>
          <cell r="F68">
            <v>0</v>
          </cell>
          <cell r="G68">
            <v>0</v>
          </cell>
        </row>
        <row r="69">
          <cell r="B69">
            <v>19</v>
          </cell>
          <cell r="C69" t="str">
            <v>0,9 DE kvæg</v>
          </cell>
          <cell r="D69">
            <v>0.9</v>
          </cell>
          <cell r="E69">
            <v>0</v>
          </cell>
          <cell r="F69">
            <v>0</v>
          </cell>
          <cell r="G69">
            <v>0</v>
          </cell>
        </row>
        <row r="70">
          <cell r="B70">
            <v>20</v>
          </cell>
          <cell r="C70" t="str">
            <v>1,0 DE svin</v>
          </cell>
          <cell r="D70">
            <v>1</v>
          </cell>
          <cell r="E70">
            <v>0</v>
          </cell>
          <cell r="F70">
            <v>0</v>
          </cell>
          <cell r="G70">
            <v>0</v>
          </cell>
        </row>
        <row r="71">
          <cell r="B71">
            <v>21</v>
          </cell>
          <cell r="C71" t="str">
            <v>1,0 DE kvæg</v>
          </cell>
          <cell r="D71">
            <v>1</v>
          </cell>
          <cell r="E71">
            <v>0</v>
          </cell>
          <cell r="F71">
            <v>0</v>
          </cell>
          <cell r="G71">
            <v>0</v>
          </cell>
        </row>
        <row r="72">
          <cell r="B72">
            <v>22</v>
          </cell>
          <cell r="C72" t="str">
            <v>1,1 DE svin</v>
          </cell>
          <cell r="D72">
            <v>1.1000000000000001</v>
          </cell>
          <cell r="E72">
            <v>0</v>
          </cell>
          <cell r="F72">
            <v>0</v>
          </cell>
          <cell r="G72">
            <v>0</v>
          </cell>
        </row>
        <row r="73">
          <cell r="B73">
            <v>23</v>
          </cell>
          <cell r="C73" t="str">
            <v>1,1 DE kvæg</v>
          </cell>
          <cell r="D73">
            <v>1.1000000000000001</v>
          </cell>
          <cell r="E73">
            <v>0</v>
          </cell>
          <cell r="F73">
            <v>0</v>
          </cell>
          <cell r="G73">
            <v>0</v>
          </cell>
        </row>
        <row r="74">
          <cell r="B74">
            <v>24</v>
          </cell>
          <cell r="C74" t="str">
            <v>1,2 DE svin</v>
          </cell>
          <cell r="D74">
            <v>1.2</v>
          </cell>
          <cell r="E74">
            <v>0</v>
          </cell>
          <cell r="F74">
            <v>0</v>
          </cell>
          <cell r="G74">
            <v>0</v>
          </cell>
        </row>
        <row r="75">
          <cell r="B75">
            <v>25</v>
          </cell>
          <cell r="C75" t="str">
            <v>1,2 DE kvæg</v>
          </cell>
          <cell r="D75">
            <v>1.2</v>
          </cell>
          <cell r="E75">
            <v>0</v>
          </cell>
          <cell r="F75">
            <v>0</v>
          </cell>
          <cell r="G75">
            <v>0</v>
          </cell>
        </row>
        <row r="76">
          <cell r="B76">
            <v>26</v>
          </cell>
          <cell r="C76" t="str">
            <v>1,3 DE svin</v>
          </cell>
          <cell r="D76">
            <v>1.3</v>
          </cell>
          <cell r="E76">
            <v>0</v>
          </cell>
          <cell r="F76">
            <v>0</v>
          </cell>
          <cell r="G76">
            <v>0</v>
          </cell>
        </row>
        <row r="77">
          <cell r="B77">
            <v>27</v>
          </cell>
          <cell r="C77" t="str">
            <v>1,3 DE kvæg</v>
          </cell>
          <cell r="D77">
            <v>1.3</v>
          </cell>
          <cell r="E77">
            <v>0</v>
          </cell>
          <cell r="F77">
            <v>0</v>
          </cell>
          <cell r="G77">
            <v>0</v>
          </cell>
        </row>
        <row r="78">
          <cell r="B78">
            <v>28</v>
          </cell>
          <cell r="C78" t="str">
            <v>1,4 DE svin</v>
          </cell>
          <cell r="D78">
            <v>1.4</v>
          </cell>
          <cell r="E78">
            <v>0</v>
          </cell>
          <cell r="F78">
            <v>0</v>
          </cell>
          <cell r="G78">
            <v>0</v>
          </cell>
        </row>
        <row r="79">
          <cell r="B79">
            <v>29</v>
          </cell>
          <cell r="C79" t="str">
            <v>1,4 DE kvæg</v>
          </cell>
          <cell r="D79">
            <v>1.4</v>
          </cell>
          <cell r="E79">
            <v>0</v>
          </cell>
          <cell r="F79">
            <v>0</v>
          </cell>
          <cell r="G79">
            <v>0</v>
          </cell>
        </row>
        <row r="80">
          <cell r="B80">
            <v>30</v>
          </cell>
          <cell r="C80" t="str">
            <v>1,5 DE kvæg</v>
          </cell>
          <cell r="D80">
            <v>1.5</v>
          </cell>
          <cell r="E80">
            <v>0</v>
          </cell>
          <cell r="F80">
            <v>0</v>
          </cell>
          <cell r="G80">
            <v>0</v>
          </cell>
        </row>
        <row r="81">
          <cell r="B81">
            <v>31</v>
          </cell>
          <cell r="C81" t="str">
            <v>1,6 DE kvæg</v>
          </cell>
          <cell r="D81">
            <v>1.6</v>
          </cell>
          <cell r="E81">
            <v>0</v>
          </cell>
          <cell r="F81">
            <v>0</v>
          </cell>
          <cell r="G81">
            <v>0</v>
          </cell>
        </row>
        <row r="82">
          <cell r="B82">
            <v>32</v>
          </cell>
          <cell r="C82" t="str">
            <v>1,7 DE kvæg</v>
          </cell>
          <cell r="D82">
            <v>1.7</v>
          </cell>
          <cell r="E82">
            <v>0</v>
          </cell>
          <cell r="F82">
            <v>0</v>
          </cell>
          <cell r="G82">
            <v>0</v>
          </cell>
        </row>
        <row r="83">
          <cell r="B83">
            <v>33</v>
          </cell>
          <cell r="C83" t="str">
            <v>1,8 DE kvæg</v>
          </cell>
          <cell r="D83">
            <v>1.8</v>
          </cell>
          <cell r="E83">
            <v>0</v>
          </cell>
          <cell r="F83">
            <v>0</v>
          </cell>
          <cell r="G83">
            <v>0</v>
          </cell>
        </row>
        <row r="84">
          <cell r="B84">
            <v>34</v>
          </cell>
          <cell r="C84" t="str">
            <v>1,9 DE kvæg</v>
          </cell>
          <cell r="D84">
            <v>1.9</v>
          </cell>
          <cell r="E84">
            <v>0</v>
          </cell>
          <cell r="F84">
            <v>0</v>
          </cell>
          <cell r="G84">
            <v>0</v>
          </cell>
        </row>
        <row r="85">
          <cell r="B85">
            <v>35</v>
          </cell>
          <cell r="C85" t="str">
            <v>2,0 DE kvæg</v>
          </cell>
          <cell r="D85">
            <v>2</v>
          </cell>
          <cell r="E85">
            <v>0</v>
          </cell>
          <cell r="F85">
            <v>0</v>
          </cell>
          <cell r="G85">
            <v>0</v>
          </cell>
        </row>
        <row r="86">
          <cell r="B86">
            <v>36</v>
          </cell>
          <cell r="C86" t="str">
            <v>2,1 DE kvæg</v>
          </cell>
          <cell r="D86">
            <v>2.1</v>
          </cell>
          <cell r="E86">
            <v>0</v>
          </cell>
          <cell r="F86">
            <v>0</v>
          </cell>
          <cell r="G86">
            <v>0</v>
          </cell>
        </row>
        <row r="87">
          <cell r="B87">
            <v>37</v>
          </cell>
          <cell r="C87" t="str">
            <v>2,2 DE kvæg</v>
          </cell>
          <cell r="D87">
            <v>2.2000000000000002</v>
          </cell>
          <cell r="E87">
            <v>0</v>
          </cell>
          <cell r="F87">
            <v>0</v>
          </cell>
          <cell r="G87">
            <v>0</v>
          </cell>
        </row>
        <row r="88">
          <cell r="B88">
            <v>38</v>
          </cell>
          <cell r="C88" t="str">
            <v>2,3 DE kvæg</v>
          </cell>
          <cell r="D88">
            <v>2.2999999999999998</v>
          </cell>
          <cell r="E88">
            <v>0</v>
          </cell>
          <cell r="F88">
            <v>0</v>
          </cell>
          <cell r="G88">
            <v>0</v>
          </cell>
        </row>
        <row r="91">
          <cell r="B91">
            <v>1</v>
          </cell>
          <cell r="C91" t="str">
            <v>Finsnitning</v>
          </cell>
        </row>
        <row r="92">
          <cell r="B92">
            <v>2</v>
          </cell>
          <cell r="C92" t="str">
            <v>Rundballepresning</v>
          </cell>
        </row>
        <row r="95">
          <cell r="B95">
            <v>1</v>
          </cell>
          <cell r="C95" t="str">
            <v>Ingen lagring</v>
          </cell>
        </row>
        <row r="96">
          <cell r="B96">
            <v>2</v>
          </cell>
          <cell r="C96" t="str">
            <v>Plansilo</v>
          </cell>
        </row>
        <row r="97">
          <cell r="B97">
            <v>3</v>
          </cell>
          <cell r="C97" t="str">
            <v>Markstak</v>
          </cell>
        </row>
        <row r="98">
          <cell r="B98">
            <v>4</v>
          </cell>
          <cell r="C98" t="str">
            <v>Wrapballer</v>
          </cell>
        </row>
        <row r="101">
          <cell r="B101">
            <v>1</v>
          </cell>
          <cell r="C101" t="str">
            <v>Traktor m. vogn</v>
          </cell>
        </row>
        <row r="102">
          <cell r="B102">
            <v>2</v>
          </cell>
          <cell r="C102" t="str">
            <v>Lastbil</v>
          </cell>
        </row>
      </sheetData>
      <sheetData sheetId="3"/>
      <sheetData sheetId="4"/>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2.vml"/><Relationship Id="rId7" Type="http://schemas.openxmlformats.org/officeDocument/2006/relationships/ctrlProp" Target="../ctrlProps/ctrlProp58.xml"/><Relationship Id="rId12" Type="http://schemas.openxmlformats.org/officeDocument/2006/relationships/comments" Target="../comments9.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ctrlProp" Target="../ctrlProps/ctrlProp63.xml"/><Relationship Id="rId7" Type="http://schemas.openxmlformats.org/officeDocument/2006/relationships/ctrlProp" Target="../ctrlProps/ctrlProp67.xml"/><Relationship Id="rId12"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drawing" Target="../drawings/drawing9.xm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72.xml"/><Relationship Id="rId2" Type="http://schemas.openxmlformats.org/officeDocument/2006/relationships/vmlDrawing" Target="../drawings/vmlDrawing14.vml"/><Relationship Id="rId1" Type="http://schemas.openxmlformats.org/officeDocument/2006/relationships/drawing" Target="../drawings/drawing10.xml"/><Relationship Id="rId4" Type="http://schemas.openxmlformats.org/officeDocument/2006/relationships/ctrlProp" Target="../ctrlProps/ctrlProp73.xml"/></Relationships>
</file>

<file path=xl/worksheets/_rels/sheet18.xml.rels><?xml version="1.0" encoding="UTF-8" standalone="yes"?>
<Relationships xmlns="http://schemas.openxmlformats.org/package/2006/relationships"><Relationship Id="rId3" Type="http://schemas.openxmlformats.org/officeDocument/2006/relationships/ctrlProp" Target="../ctrlProps/ctrlProp74.xml"/><Relationship Id="rId2" Type="http://schemas.openxmlformats.org/officeDocument/2006/relationships/vmlDrawing" Target="../drawings/vmlDrawing15.vml"/><Relationship Id="rId1" Type="http://schemas.openxmlformats.org/officeDocument/2006/relationships/drawing" Target="../drawings/drawing11.xml"/><Relationship Id="rId4" Type="http://schemas.openxmlformats.org/officeDocument/2006/relationships/ctrlProp" Target="../ctrlProps/ctrlProp7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omments" Target="../comments1.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2.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omments" Target="../comments3.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0" tint="-0.34998626667073579"/>
  </sheetPr>
  <dimension ref="A1:L27"/>
  <sheetViews>
    <sheetView tabSelected="1" workbookViewId="0">
      <selection activeCell="C34" sqref="C34"/>
    </sheetView>
  </sheetViews>
  <sheetFormatPr defaultRowHeight="15" x14ac:dyDescent="0.25"/>
  <cols>
    <col min="1" max="6" width="9.140625" style="5"/>
    <col min="7" max="7" width="9.140625" style="5" customWidth="1"/>
    <col min="8" max="16384" width="9.140625" style="5"/>
  </cols>
  <sheetData>
    <row r="1" spans="1:1" ht="21" x14ac:dyDescent="0.35">
      <c r="A1" s="11" t="s">
        <v>10</v>
      </c>
    </row>
    <row r="4" spans="1:1" ht="15.75" x14ac:dyDescent="0.25">
      <c r="A4" s="39" t="s">
        <v>11</v>
      </c>
    </row>
    <row r="22" spans="2:12" x14ac:dyDescent="0.25">
      <c r="L22" s="13"/>
    </row>
    <row r="25" spans="2:12" x14ac:dyDescent="0.25">
      <c r="B25" s="14"/>
    </row>
    <row r="26" spans="2:12" x14ac:dyDescent="0.25">
      <c r="B26" s="14"/>
    </row>
    <row r="27" spans="2:12" x14ac:dyDescent="0.25">
      <c r="B27" s="1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åTilHvedehalm">
                <anchor moveWithCells="1" sizeWithCells="1">
                  <from>
                    <xdr:col>2</xdr:col>
                    <xdr:colOff>9525</xdr:colOff>
                    <xdr:row>8</xdr:row>
                    <xdr:rowOff>95250</xdr:rowOff>
                  </from>
                  <to>
                    <xdr:col>4</xdr:col>
                    <xdr:colOff>342900</xdr:colOff>
                    <xdr:row>11</xdr:row>
                    <xdr:rowOff>104775</xdr:rowOff>
                  </to>
                </anchor>
              </controlPr>
            </control>
          </mc:Choice>
        </mc:AlternateContent>
        <mc:AlternateContent xmlns:mc="http://schemas.openxmlformats.org/markup-compatibility/2006">
          <mc:Choice Requires="x14">
            <control shapeId="2050" r:id="rId5" name="Button 2">
              <controlPr defaultSize="0" print="0" autoFill="0" autoPict="0" macro="[0]!GåTilEnggræs">
                <anchor moveWithCells="1" sizeWithCells="1">
                  <from>
                    <xdr:col>4</xdr:col>
                    <xdr:colOff>495300</xdr:colOff>
                    <xdr:row>12</xdr:row>
                    <xdr:rowOff>19050</xdr:rowOff>
                  </from>
                  <to>
                    <xdr:col>7</xdr:col>
                    <xdr:colOff>219075</xdr:colOff>
                    <xdr:row>15</xdr:row>
                    <xdr:rowOff>28575</xdr:rowOff>
                  </to>
                </anchor>
              </controlPr>
            </control>
          </mc:Choice>
        </mc:AlternateContent>
        <mc:AlternateContent xmlns:mc="http://schemas.openxmlformats.org/markup-compatibility/2006">
          <mc:Choice Requires="x14">
            <control shapeId="2051" r:id="rId6" name="Button 3">
              <controlPr defaultSize="0" print="0" autoFill="0" autoPict="0" macro="[0]!GåTilRoer">
                <anchor moveWithCells="1" sizeWithCells="1">
                  <from>
                    <xdr:col>2</xdr:col>
                    <xdr:colOff>19050</xdr:colOff>
                    <xdr:row>12</xdr:row>
                    <xdr:rowOff>19050</xdr:rowOff>
                  </from>
                  <to>
                    <xdr:col>4</xdr:col>
                    <xdr:colOff>352425</xdr:colOff>
                    <xdr:row>15</xdr:row>
                    <xdr:rowOff>28575</xdr:rowOff>
                  </to>
                </anchor>
              </controlPr>
            </control>
          </mc:Choice>
        </mc:AlternateContent>
        <mc:AlternateContent xmlns:mc="http://schemas.openxmlformats.org/markup-compatibility/2006">
          <mc:Choice Requires="x14">
            <control shapeId="2052" r:id="rId7" name="Button 4">
              <controlPr defaultSize="0" print="0" autoFill="0" autoPict="0" macro="[0]!GåTilDybstrøelse">
                <anchor moveWithCells="1" sizeWithCells="1">
                  <from>
                    <xdr:col>4</xdr:col>
                    <xdr:colOff>485775</xdr:colOff>
                    <xdr:row>4</xdr:row>
                    <xdr:rowOff>161925</xdr:rowOff>
                  </from>
                  <to>
                    <xdr:col>7</xdr:col>
                    <xdr:colOff>209550</xdr:colOff>
                    <xdr:row>7</xdr:row>
                    <xdr:rowOff>171450</xdr:rowOff>
                  </to>
                </anchor>
              </controlPr>
            </control>
          </mc:Choice>
        </mc:AlternateContent>
        <mc:AlternateContent xmlns:mc="http://schemas.openxmlformats.org/markup-compatibility/2006">
          <mc:Choice Requires="x14">
            <control shapeId="2053" r:id="rId8" name="Button 5">
              <controlPr defaultSize="0" print="0" autoFill="0" autoPict="0" macro="[0]!GåTilGylle">
                <anchor moveWithCells="1" sizeWithCells="1">
                  <from>
                    <xdr:col>2</xdr:col>
                    <xdr:colOff>0</xdr:colOff>
                    <xdr:row>4</xdr:row>
                    <xdr:rowOff>161925</xdr:rowOff>
                  </from>
                  <to>
                    <xdr:col>4</xdr:col>
                    <xdr:colOff>333375</xdr:colOff>
                    <xdr:row>7</xdr:row>
                    <xdr:rowOff>171450</xdr:rowOff>
                  </to>
                </anchor>
              </controlPr>
            </control>
          </mc:Choice>
        </mc:AlternateContent>
        <mc:AlternateContent xmlns:mc="http://schemas.openxmlformats.org/markup-compatibility/2006">
          <mc:Choice Requires="x14">
            <control shapeId="2054" r:id="rId9" name="Button 6">
              <controlPr defaultSize="0" print="0" autoFill="0" autoPict="0" macro="[0]!HvedehalmMedDecentraleBrikstationer">
                <anchor moveWithCells="1" sizeWithCells="1">
                  <from>
                    <xdr:col>4</xdr:col>
                    <xdr:colOff>485775</xdr:colOff>
                    <xdr:row>8</xdr:row>
                    <xdr:rowOff>95250</xdr:rowOff>
                  </from>
                  <to>
                    <xdr:col>7</xdr:col>
                    <xdr:colOff>209550</xdr:colOff>
                    <xdr:row>11</xdr:row>
                    <xdr:rowOff>104775</xdr:rowOff>
                  </to>
                </anchor>
              </controlPr>
            </control>
          </mc:Choice>
        </mc:AlternateContent>
        <mc:AlternateContent xmlns:mc="http://schemas.openxmlformats.org/markup-compatibility/2006">
          <mc:Choice Requires="x14">
            <control shapeId="2055" r:id="rId10" name="Button 7">
              <controlPr defaultSize="0" print="0" autoFill="0" autoPict="0" macro="[0]!GåTilMajs">
                <anchor moveWithCells="1" sizeWithCells="1">
                  <from>
                    <xdr:col>4</xdr:col>
                    <xdr:colOff>495300</xdr:colOff>
                    <xdr:row>15</xdr:row>
                    <xdr:rowOff>152400</xdr:rowOff>
                  </from>
                  <to>
                    <xdr:col>7</xdr:col>
                    <xdr:colOff>219075</xdr:colOff>
                    <xdr:row>18</xdr:row>
                    <xdr:rowOff>161925</xdr:rowOff>
                  </to>
                </anchor>
              </controlPr>
            </control>
          </mc:Choice>
        </mc:AlternateContent>
        <mc:AlternateContent xmlns:mc="http://schemas.openxmlformats.org/markup-compatibility/2006">
          <mc:Choice Requires="x14">
            <control shapeId="2057" r:id="rId11" name="Button 9">
              <controlPr defaultSize="0" print="0" autoFill="0" autoPict="0" macro="[0]!GåTilRapshalm">
                <anchor moveWithCells="1" sizeWithCells="1">
                  <from>
                    <xdr:col>2</xdr:col>
                    <xdr:colOff>19050</xdr:colOff>
                    <xdr:row>15</xdr:row>
                    <xdr:rowOff>123825</xdr:rowOff>
                  </from>
                  <to>
                    <xdr:col>4</xdr:col>
                    <xdr:colOff>352425</xdr:colOff>
                    <xdr:row>18</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theme="6" tint="0.59999389629810485"/>
  </sheetPr>
  <dimension ref="A1:F24"/>
  <sheetViews>
    <sheetView workbookViewId="0">
      <selection activeCell="B12" sqref="B12"/>
    </sheetView>
  </sheetViews>
  <sheetFormatPr defaultRowHeight="15" x14ac:dyDescent="0.25"/>
  <cols>
    <col min="1" max="1" width="36.7109375" style="5" customWidth="1"/>
    <col min="2" max="2" width="15.42578125" style="5" customWidth="1"/>
    <col min="3" max="16384" width="9.140625" style="5"/>
  </cols>
  <sheetData>
    <row r="1" spans="1:6" ht="21" x14ac:dyDescent="0.35">
      <c r="A1" s="8" t="s">
        <v>537</v>
      </c>
    </row>
    <row r="3" spans="1:6" x14ac:dyDescent="0.25">
      <c r="A3" s="369" t="s">
        <v>16</v>
      </c>
      <c r="B3" s="369" t="str">
        <f>VLOOKUP(Roelager,'Rådata roer'!A33:C34,3)</f>
        <v>Hele roer</v>
      </c>
      <c r="C3" s="9"/>
    </row>
    <row r="4" spans="1:6" x14ac:dyDescent="0.25">
      <c r="A4" s="9"/>
      <c r="B4" s="9"/>
      <c r="C4" s="9"/>
    </row>
    <row r="5" spans="1:6" x14ac:dyDescent="0.25">
      <c r="A5" s="9"/>
      <c r="B5" s="9"/>
      <c r="C5" s="9"/>
    </row>
    <row r="6" spans="1:6" x14ac:dyDescent="0.25">
      <c r="A6" s="370" t="s">
        <v>15</v>
      </c>
      <c r="B6" s="371">
        <f>SUM(Roer!C14:C18)/Roemarkudbytte</f>
        <v>-71.288888888888891</v>
      </c>
      <c r="C6" s="372" t="s">
        <v>346</v>
      </c>
    </row>
    <row r="7" spans="1:6" x14ac:dyDescent="0.25">
      <c r="A7" s="370" t="s">
        <v>533</v>
      </c>
      <c r="B7" s="373">
        <f>(SUM(Roer!C23:C31)/Roemarkudbytte)+(SUM(Roer!C32:C35)/RoeUdbytte)</f>
        <v>-49.866666666666667</v>
      </c>
      <c r="C7" s="372" t="s">
        <v>346</v>
      </c>
    </row>
    <row r="8" spans="1:6" x14ac:dyDescent="0.25">
      <c r="A8" s="370" t="s">
        <v>534</v>
      </c>
      <c r="B8" s="373">
        <f>IF(Roelager=1,CEILING((Roer!M8/Roer!M10),1)*Roer!M15,(Roer!M31+Roer!M45)/RoeUdbytte)</f>
        <v>-130.43162703149164</v>
      </c>
      <c r="C8" s="372" t="s">
        <v>346</v>
      </c>
    </row>
    <row r="9" spans="1:6" x14ac:dyDescent="0.25">
      <c r="A9" s="370" t="s">
        <v>228</v>
      </c>
      <c r="B9" s="373">
        <f>(2*(CEILING(RoeUdbytte/Roer!H9,1)*(Roeafstandkule/Roer!H10)*RoeTransKulePris)+2*(IF(RoeLæsKule=1,(Roer!H16*RoeUdbytte)*(Roekulelæs/60),Roekulelæs*RoeUdbytte))+2*(CEILING(RoeUdbytte/Roer!H22,1)*(Roeafstandanlæg/Roer!H23)*RoeTransAnlægPris))/RoeUdbytte</f>
        <v>-36.978784609852575</v>
      </c>
      <c r="C9" s="372" t="s">
        <v>346</v>
      </c>
    </row>
    <row r="10" spans="1:6" x14ac:dyDescent="0.25">
      <c r="A10" s="370" t="str">
        <f>VLOOKUP(Roerens,'Rådata roer'!A28:F30,2)</f>
        <v>Elephant beet washer</v>
      </c>
      <c r="B10" s="373">
        <f>IF(Roerens=1,Roer!H38,(IF(Roerens=2,Roer!H34,0)))</f>
        <v>-16.423456790123456</v>
      </c>
      <c r="C10" s="372" t="s">
        <v>346</v>
      </c>
    </row>
    <row r="11" spans="1:6" x14ac:dyDescent="0.25">
      <c r="A11" s="370" t="s">
        <v>558</v>
      </c>
      <c r="B11" s="373">
        <f>B6+B7+B8+B9+B10</f>
        <v>-304.98942398702326</v>
      </c>
      <c r="C11" s="372" t="s">
        <v>346</v>
      </c>
      <c r="F11" s="5" t="s">
        <v>645</v>
      </c>
    </row>
    <row r="12" spans="1:6" x14ac:dyDescent="0.25">
      <c r="A12" s="370" t="s">
        <v>559</v>
      </c>
      <c r="B12" s="381">
        <f>(SUM(B6:B10)/RoeTS)/1000</f>
        <v>-1.3203005367403602</v>
      </c>
      <c r="C12" s="372" t="s">
        <v>557</v>
      </c>
    </row>
    <row r="13" spans="1:6" x14ac:dyDescent="0.25">
      <c r="A13" s="367" t="s">
        <v>535</v>
      </c>
      <c r="B13" s="368">
        <f>(B6+B7+B8+B9+B10)*RoeUdbytte</f>
        <v>-1372452.4079416047</v>
      </c>
      <c r="C13" s="248" t="s">
        <v>299</v>
      </c>
      <c r="D13" s="5">
        <f>B13/Roer!C6</f>
        <v>-27449.048158832094</v>
      </c>
    </row>
    <row r="15" spans="1:6" ht="17.25" x14ac:dyDescent="0.25">
      <c r="A15" s="379" t="s">
        <v>556</v>
      </c>
      <c r="B15" s="380">
        <f>RoeMetan*Roemarkudbytte*RoeVS</f>
        <v>7110.18</v>
      </c>
      <c r="C15" s="366" t="s">
        <v>555</v>
      </c>
    </row>
    <row r="16" spans="1:6" x14ac:dyDescent="0.25">
      <c r="A16" s="378" t="s">
        <v>378</v>
      </c>
      <c r="B16" s="374">
        <f>EnergiMetan*RoeMetan*RoeVS</f>
        <v>790.02</v>
      </c>
      <c r="C16" s="225" t="s">
        <v>377</v>
      </c>
    </row>
    <row r="17" spans="1:3" x14ac:dyDescent="0.25">
      <c r="A17" s="233" t="s">
        <v>382</v>
      </c>
      <c r="B17" s="373">
        <f>B16*Elprocent</f>
        <v>316.00800000000004</v>
      </c>
      <c r="C17" s="225" t="s">
        <v>377</v>
      </c>
    </row>
    <row r="18" spans="1:3" x14ac:dyDescent="0.25">
      <c r="A18" s="233" t="s">
        <v>381</v>
      </c>
      <c r="B18" s="373">
        <f>B16*Varmeprocent</f>
        <v>395.01</v>
      </c>
      <c r="C18" s="225" t="s">
        <v>377</v>
      </c>
    </row>
    <row r="19" spans="1:3" x14ac:dyDescent="0.25">
      <c r="A19" s="226" t="s">
        <v>379</v>
      </c>
      <c r="B19" s="373">
        <f>B17*Elpris</f>
        <v>350.76888000000008</v>
      </c>
      <c r="C19" s="229" t="s">
        <v>346</v>
      </c>
    </row>
    <row r="20" spans="1:3" x14ac:dyDescent="0.25">
      <c r="A20" s="226" t="s">
        <v>380</v>
      </c>
      <c r="B20" s="373">
        <f>B18*Varmepris</f>
        <v>98.752499999999998</v>
      </c>
      <c r="C20" s="225" t="s">
        <v>346</v>
      </c>
    </row>
    <row r="21" spans="1:3" x14ac:dyDescent="0.25">
      <c r="A21" s="226" t="s">
        <v>383</v>
      </c>
      <c r="B21" s="373">
        <f>B19+B20</f>
        <v>449.52138000000008</v>
      </c>
      <c r="C21" s="229" t="s">
        <v>346</v>
      </c>
    </row>
    <row r="22" spans="1:3" x14ac:dyDescent="0.25">
      <c r="A22" s="251" t="s">
        <v>389</v>
      </c>
      <c r="B22" s="376">
        <f>B21*Roer!C7*Roer!C6</f>
        <v>2022846.2100000004</v>
      </c>
      <c r="C22" s="248" t="s">
        <v>299</v>
      </c>
    </row>
    <row r="24" spans="1:3" x14ac:dyDescent="0.25">
      <c r="A24" s="365" t="s">
        <v>166</v>
      </c>
      <c r="B24" s="375">
        <f>B13+B22</f>
        <v>650393.8020583957</v>
      </c>
      <c r="C24" s="366" t="s">
        <v>363</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Button 1">
              <controlPr defaultSize="0" print="0" autoFill="0" autoPict="0" macro="[0]!TilbageTilIndtastningRoer">
                <anchor moveWithCells="1" sizeWithCells="1">
                  <from>
                    <xdr:col>0</xdr:col>
                    <xdr:colOff>47625</xdr:colOff>
                    <xdr:row>24</xdr:row>
                    <xdr:rowOff>142875</xdr:rowOff>
                  </from>
                  <to>
                    <xdr:col>1</xdr:col>
                    <xdr:colOff>1000125</xdr:colOff>
                    <xdr:row>26</xdr:row>
                    <xdr:rowOff>104775</xdr:rowOff>
                  </to>
                </anchor>
              </controlPr>
            </control>
          </mc:Choice>
        </mc:AlternateContent>
        <mc:AlternateContent xmlns:mc="http://schemas.openxmlformats.org/markup-compatibility/2006">
          <mc:Choice Requires="x14">
            <control shapeId="50178" r:id="rId5" name="Button 2">
              <controlPr defaultSize="0" print="0" autoFill="0" autoPict="0" macro="[0]!TilbageTilHovedmenuFraResultaterRoer">
                <anchor moveWithCells="1" sizeWithCells="1">
                  <from>
                    <xdr:col>0</xdr:col>
                    <xdr:colOff>57150</xdr:colOff>
                    <xdr:row>27</xdr:row>
                    <xdr:rowOff>47625</xdr:rowOff>
                  </from>
                  <to>
                    <xdr:col>1</xdr:col>
                    <xdr:colOff>1009650</xdr:colOff>
                    <xdr:row>29</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0" tint="-0.14999847407452621"/>
  </sheetPr>
  <dimension ref="A1:AD42"/>
  <sheetViews>
    <sheetView topLeftCell="M1" workbookViewId="0">
      <selection activeCell="V31" sqref="V31"/>
    </sheetView>
  </sheetViews>
  <sheetFormatPr defaultRowHeight="15" x14ac:dyDescent="0.25"/>
  <cols>
    <col min="2" max="2" width="48" bestFit="1" customWidth="1"/>
    <col min="5" max="5" width="14.85546875" bestFit="1" customWidth="1"/>
    <col min="6" max="6" width="18.7109375" customWidth="1"/>
    <col min="7" max="7" width="45" bestFit="1" customWidth="1"/>
    <col min="8" max="8" width="12.5703125" bestFit="1" customWidth="1"/>
    <col min="9" max="9" width="14.140625" customWidth="1"/>
    <col min="10" max="10" width="10.28515625" customWidth="1"/>
    <col min="12" max="12" width="49.42578125" bestFit="1" customWidth="1"/>
    <col min="18" max="18" width="37.140625" bestFit="1" customWidth="1"/>
    <col min="21" max="21" width="37.140625" bestFit="1" customWidth="1"/>
    <col min="23" max="23" width="10.140625" bestFit="1" customWidth="1"/>
    <col min="24" max="24" width="20.140625" customWidth="1"/>
    <col min="26" max="26" width="15.7109375" bestFit="1" customWidth="1"/>
    <col min="27" max="27" width="37.7109375" bestFit="1" customWidth="1"/>
  </cols>
  <sheetData>
    <row r="1" spans="1:30" ht="21" x14ac:dyDescent="0.35">
      <c r="A1" s="3" t="s">
        <v>0</v>
      </c>
    </row>
    <row r="3" spans="1:30" ht="18.75" x14ac:dyDescent="0.3">
      <c r="B3" s="276" t="s">
        <v>1</v>
      </c>
      <c r="C3" s="274"/>
      <c r="D3" s="279"/>
      <c r="E3" s="274"/>
      <c r="G3" s="276" t="s">
        <v>71</v>
      </c>
      <c r="H3" s="274"/>
      <c r="I3" s="274"/>
      <c r="J3" s="274"/>
      <c r="L3" s="276" t="s">
        <v>8</v>
      </c>
      <c r="M3" s="274"/>
      <c r="N3" s="274"/>
      <c r="O3" s="274"/>
      <c r="P3" s="274"/>
      <c r="Q3" s="1" t="s">
        <v>280</v>
      </c>
      <c r="U3" s="1" t="s">
        <v>72</v>
      </c>
      <c r="X3" s="30" t="s">
        <v>88</v>
      </c>
    </row>
    <row r="4" spans="1:30" x14ac:dyDescent="0.25">
      <c r="B4" s="274"/>
      <c r="C4" s="274"/>
      <c r="D4" s="279"/>
      <c r="E4" s="274"/>
      <c r="G4" s="274"/>
      <c r="H4" s="274"/>
      <c r="I4" s="274"/>
      <c r="J4" s="274"/>
      <c r="L4" s="274"/>
      <c r="M4" s="274"/>
      <c r="N4" s="274"/>
      <c r="O4" s="274"/>
      <c r="P4" s="274"/>
    </row>
    <row r="5" spans="1:30" x14ac:dyDescent="0.25">
      <c r="B5" s="275" t="s">
        <v>432</v>
      </c>
      <c r="C5" s="274"/>
      <c r="D5" s="279"/>
      <c r="E5" s="274"/>
      <c r="G5" s="275" t="s">
        <v>436</v>
      </c>
      <c r="H5" s="274"/>
      <c r="I5" s="274"/>
      <c r="J5" s="274"/>
      <c r="L5" s="277" t="s">
        <v>455</v>
      </c>
      <c r="M5" s="274">
        <v>-1560</v>
      </c>
      <c r="N5" s="279">
        <v>-1560</v>
      </c>
      <c r="O5" s="274" t="s">
        <v>347</v>
      </c>
      <c r="P5" s="274"/>
      <c r="R5" t="s">
        <v>523</v>
      </c>
      <c r="S5">
        <v>-250</v>
      </c>
      <c r="T5" t="s">
        <v>524</v>
      </c>
      <c r="V5" t="s">
        <v>73</v>
      </c>
      <c r="W5">
        <v>15</v>
      </c>
    </row>
    <row r="6" spans="1:30" x14ac:dyDescent="0.25">
      <c r="B6" s="280" t="s">
        <v>402</v>
      </c>
      <c r="C6" s="274">
        <v>-625</v>
      </c>
      <c r="D6" s="279">
        <v>-625</v>
      </c>
      <c r="E6" s="274" t="s">
        <v>347</v>
      </c>
      <c r="G6" s="280" t="s">
        <v>96</v>
      </c>
      <c r="H6" s="274">
        <v>-625</v>
      </c>
      <c r="I6" s="279">
        <v>-625</v>
      </c>
      <c r="J6" s="274" t="s">
        <v>347</v>
      </c>
      <c r="L6" s="277" t="s">
        <v>456</v>
      </c>
      <c r="M6" s="274">
        <v>5.8</v>
      </c>
      <c r="N6" s="279">
        <v>5.8</v>
      </c>
      <c r="O6" s="274" t="s">
        <v>610</v>
      </c>
      <c r="P6" s="274"/>
      <c r="U6" t="s">
        <v>74</v>
      </c>
      <c r="V6">
        <v>25</v>
      </c>
      <c r="X6" s="31" t="s">
        <v>96</v>
      </c>
      <c r="Y6" s="31" t="s">
        <v>91</v>
      </c>
      <c r="Z6" s="31" t="s">
        <v>92</v>
      </c>
      <c r="AA6" s="31" t="s">
        <v>94</v>
      </c>
      <c r="AB6" s="31" t="s">
        <v>95</v>
      </c>
      <c r="AC6" s="31" t="s">
        <v>93</v>
      </c>
      <c r="AD6" s="33" t="s">
        <v>97</v>
      </c>
    </row>
    <row r="7" spans="1:30" x14ac:dyDescent="0.25">
      <c r="B7" s="274" t="s">
        <v>431</v>
      </c>
      <c r="C7" s="277">
        <v>24</v>
      </c>
      <c r="D7" s="279">
        <v>24</v>
      </c>
      <c r="E7" s="277" t="s">
        <v>425</v>
      </c>
      <c r="G7" s="274" t="s">
        <v>437</v>
      </c>
      <c r="H7" s="274">
        <f>AB10</f>
        <v>23</v>
      </c>
      <c r="I7" s="279">
        <f>H7</f>
        <v>23</v>
      </c>
      <c r="J7" s="274" t="s">
        <v>625</v>
      </c>
      <c r="L7" s="274" t="s">
        <v>457</v>
      </c>
      <c r="M7" s="274">
        <v>2.2999999999999998</v>
      </c>
      <c r="N7" s="279">
        <v>2.2999999999999998</v>
      </c>
      <c r="O7" s="274" t="s">
        <v>610</v>
      </c>
      <c r="P7" s="274"/>
      <c r="U7" t="s">
        <v>75</v>
      </c>
      <c r="V7">
        <v>51.5</v>
      </c>
      <c r="X7" s="418" t="s">
        <v>12</v>
      </c>
      <c r="Y7" s="419">
        <v>280</v>
      </c>
      <c r="Z7" s="31">
        <v>12</v>
      </c>
      <c r="AA7" s="31">
        <v>63</v>
      </c>
      <c r="AB7" s="419">
        <f>AVERAGE(AA7:AA9)</f>
        <v>58</v>
      </c>
      <c r="AC7" s="31">
        <v>34</v>
      </c>
      <c r="AD7" s="420">
        <f>AVERAGE(AC7:AC9)</f>
        <v>31.333333333333332</v>
      </c>
    </row>
    <row r="8" spans="1:30" x14ac:dyDescent="0.25">
      <c r="B8" s="274" t="s">
        <v>427</v>
      </c>
      <c r="C8" s="274">
        <v>44</v>
      </c>
      <c r="D8" s="279">
        <v>44</v>
      </c>
      <c r="E8" s="274" t="s">
        <v>426</v>
      </c>
      <c r="G8" s="274" t="s">
        <v>438</v>
      </c>
      <c r="H8" s="289">
        <f>AD10</f>
        <v>12.333333333333334</v>
      </c>
      <c r="I8" s="291">
        <f>H8</f>
        <v>12.333333333333334</v>
      </c>
      <c r="J8" s="274" t="s">
        <v>625</v>
      </c>
      <c r="L8" s="277" t="s">
        <v>399</v>
      </c>
      <c r="M8" s="274">
        <v>-605</v>
      </c>
      <c r="N8" s="279">
        <v>-605</v>
      </c>
      <c r="O8" s="274" t="s">
        <v>347</v>
      </c>
      <c r="P8" s="274"/>
      <c r="Q8" s="276" t="s">
        <v>452</v>
      </c>
      <c r="R8" s="274"/>
      <c r="S8" s="285"/>
      <c r="T8" s="308"/>
      <c r="U8" t="s">
        <v>197</v>
      </c>
      <c r="V8">
        <v>-6</v>
      </c>
      <c r="X8" s="418"/>
      <c r="Y8" s="419"/>
      <c r="Z8" s="31">
        <v>22</v>
      </c>
      <c r="AA8" s="31">
        <v>56</v>
      </c>
      <c r="AB8" s="419"/>
      <c r="AC8" s="31">
        <v>31</v>
      </c>
      <c r="AD8" s="420"/>
    </row>
    <row r="9" spans="1:30" x14ac:dyDescent="0.25">
      <c r="B9" s="280" t="s">
        <v>183</v>
      </c>
      <c r="C9" s="274">
        <v>-575</v>
      </c>
      <c r="D9" s="279">
        <v>-575</v>
      </c>
      <c r="E9" s="274" t="s">
        <v>347</v>
      </c>
      <c r="G9" s="274" t="s">
        <v>439</v>
      </c>
      <c r="H9" s="274">
        <f>AB7</f>
        <v>58</v>
      </c>
      <c r="I9" s="291">
        <f>H9</f>
        <v>58</v>
      </c>
      <c r="J9" s="274" t="s">
        <v>625</v>
      </c>
      <c r="L9" s="277" t="s">
        <v>49</v>
      </c>
      <c r="M9" s="274">
        <v>-1980</v>
      </c>
      <c r="N9" s="279">
        <v>-1980</v>
      </c>
      <c r="O9" s="274" t="s">
        <v>347</v>
      </c>
      <c r="P9" s="274"/>
      <c r="Q9" s="274"/>
      <c r="R9" s="274"/>
      <c r="S9" s="285"/>
      <c r="T9" s="308"/>
      <c r="U9" t="s">
        <v>517</v>
      </c>
      <c r="V9">
        <f>V8/1000</f>
        <v>-6.0000000000000001E-3</v>
      </c>
      <c r="X9" s="418"/>
      <c r="Y9" s="419"/>
      <c r="Z9" s="31">
        <v>44</v>
      </c>
      <c r="AA9" s="31">
        <v>55</v>
      </c>
      <c r="AB9" s="419"/>
      <c r="AC9" s="31">
        <v>29</v>
      </c>
      <c r="AD9" s="420"/>
    </row>
    <row r="10" spans="1:30" x14ac:dyDescent="0.25">
      <c r="B10" s="274" t="s">
        <v>223</v>
      </c>
      <c r="C10" s="274">
        <v>15</v>
      </c>
      <c r="D10" s="279">
        <v>15</v>
      </c>
      <c r="E10" s="274" t="s">
        <v>351</v>
      </c>
      <c r="G10" s="274" t="s">
        <v>440</v>
      </c>
      <c r="H10" s="289">
        <f>AD7</f>
        <v>31.333333333333332</v>
      </c>
      <c r="I10" s="291">
        <f>AD7</f>
        <v>31.333333333333332</v>
      </c>
      <c r="J10" s="274" t="s">
        <v>625</v>
      </c>
      <c r="L10" s="277" t="s">
        <v>612</v>
      </c>
      <c r="M10" s="274">
        <v>1.1000000000000001</v>
      </c>
      <c r="N10" s="279">
        <v>1.1000000000000001</v>
      </c>
      <c r="O10" s="274" t="s">
        <v>610</v>
      </c>
      <c r="P10" s="274"/>
      <c r="Q10" s="274" t="s">
        <v>87</v>
      </c>
      <c r="R10" s="294">
        <v>5.5E-2</v>
      </c>
      <c r="S10" s="295">
        <v>5.5E-2</v>
      </c>
      <c r="T10" s="309" t="s">
        <v>391</v>
      </c>
      <c r="X10" s="418" t="s">
        <v>89</v>
      </c>
      <c r="Y10" s="419">
        <v>700</v>
      </c>
      <c r="Z10" s="31">
        <v>12</v>
      </c>
      <c r="AA10" s="31">
        <v>25</v>
      </c>
      <c r="AB10" s="419">
        <f>AVERAGE(AA10:AA12)</f>
        <v>23</v>
      </c>
      <c r="AC10" s="31">
        <v>14</v>
      </c>
      <c r="AD10" s="420">
        <f>AVERAGE(AC10:AC12)</f>
        <v>12.333333333333334</v>
      </c>
    </row>
    <row r="11" spans="1:30" x14ac:dyDescent="0.25">
      <c r="B11" s="280" t="s">
        <v>5</v>
      </c>
      <c r="C11" s="274">
        <v>-675</v>
      </c>
      <c r="D11" s="279">
        <v>-675</v>
      </c>
      <c r="E11" s="274" t="s">
        <v>347</v>
      </c>
      <c r="G11" s="274" t="s">
        <v>441</v>
      </c>
      <c r="H11" s="289">
        <f>AB13</f>
        <v>9</v>
      </c>
      <c r="I11" s="291">
        <f>H11</f>
        <v>9</v>
      </c>
      <c r="J11" s="274" t="s">
        <v>625</v>
      </c>
      <c r="L11" s="274" t="s">
        <v>458</v>
      </c>
      <c r="M11" s="274">
        <v>-70</v>
      </c>
      <c r="N11" s="279">
        <v>-70</v>
      </c>
      <c r="O11" s="274" t="s">
        <v>346</v>
      </c>
      <c r="P11" s="274"/>
      <c r="Q11" s="274" t="s">
        <v>473</v>
      </c>
      <c r="R11" s="274">
        <v>10</v>
      </c>
      <c r="S11" s="285">
        <v>10</v>
      </c>
      <c r="T11" s="308" t="s">
        <v>364</v>
      </c>
      <c r="U11" s="1" t="s">
        <v>34</v>
      </c>
      <c r="X11" s="418"/>
      <c r="Y11" s="419"/>
      <c r="Z11" s="31">
        <v>22</v>
      </c>
      <c r="AA11" s="31">
        <v>22</v>
      </c>
      <c r="AB11" s="419"/>
      <c r="AC11" s="31">
        <v>12</v>
      </c>
      <c r="AD11" s="420"/>
    </row>
    <row r="12" spans="1:30" x14ac:dyDescent="0.25">
      <c r="B12" s="274" t="s">
        <v>223</v>
      </c>
      <c r="C12" s="274">
        <v>34</v>
      </c>
      <c r="D12" s="279">
        <v>34</v>
      </c>
      <c r="E12" s="274" t="s">
        <v>351</v>
      </c>
      <c r="G12" s="274" t="s">
        <v>442</v>
      </c>
      <c r="H12" s="289">
        <f>AD13</f>
        <v>7</v>
      </c>
      <c r="I12" s="291">
        <f>H12</f>
        <v>7</v>
      </c>
      <c r="J12" s="274" t="s">
        <v>625</v>
      </c>
      <c r="L12" s="274" t="s">
        <v>613</v>
      </c>
      <c r="M12" s="274">
        <v>-80</v>
      </c>
      <c r="N12" s="279">
        <v>-80</v>
      </c>
      <c r="O12" s="274" t="s">
        <v>395</v>
      </c>
      <c r="P12" s="274"/>
      <c r="Q12" s="274"/>
      <c r="R12" s="274"/>
      <c r="S12" s="285"/>
      <c r="T12" s="308"/>
      <c r="X12" s="418"/>
      <c r="Y12" s="419"/>
      <c r="Z12" s="31">
        <v>44</v>
      </c>
      <c r="AA12" s="31">
        <v>22</v>
      </c>
      <c r="AB12" s="419"/>
      <c r="AC12" s="31">
        <v>11</v>
      </c>
      <c r="AD12" s="420"/>
    </row>
    <row r="13" spans="1:30" x14ac:dyDescent="0.25">
      <c r="B13" s="280" t="s">
        <v>404</v>
      </c>
      <c r="C13" s="274">
        <v>-625</v>
      </c>
      <c r="D13" s="279">
        <v>-625</v>
      </c>
      <c r="E13" s="274" t="s">
        <v>347</v>
      </c>
      <c r="G13" s="274" t="s">
        <v>443</v>
      </c>
      <c r="H13" s="289">
        <f>H12</f>
        <v>7</v>
      </c>
      <c r="I13" s="291">
        <f>H13</f>
        <v>7</v>
      </c>
      <c r="J13" s="274" t="s">
        <v>625</v>
      </c>
      <c r="L13" s="274" t="s">
        <v>614</v>
      </c>
      <c r="M13" s="274">
        <v>-50</v>
      </c>
      <c r="N13" s="279">
        <v>-50</v>
      </c>
      <c r="O13" s="274" t="s">
        <v>611</v>
      </c>
      <c r="P13" s="274"/>
      <c r="Q13" s="276" t="s">
        <v>72</v>
      </c>
      <c r="R13" s="274"/>
      <c r="S13" s="285"/>
      <c r="T13" s="308"/>
      <c r="U13" t="s">
        <v>47</v>
      </c>
      <c r="V13">
        <v>0.6</v>
      </c>
      <c r="X13" s="31" t="s">
        <v>90</v>
      </c>
      <c r="Y13" s="61">
        <v>550</v>
      </c>
      <c r="Z13" s="31">
        <v>24</v>
      </c>
      <c r="AA13" s="31">
        <v>9</v>
      </c>
      <c r="AB13" s="61">
        <f>AA13</f>
        <v>9</v>
      </c>
      <c r="AC13" s="31">
        <v>7</v>
      </c>
      <c r="AD13" s="61">
        <f>AC13</f>
        <v>7</v>
      </c>
    </row>
    <row r="14" spans="1:30" x14ac:dyDescent="0.25">
      <c r="B14" s="274" t="s">
        <v>223</v>
      </c>
      <c r="C14" s="274">
        <v>35</v>
      </c>
      <c r="D14" s="279">
        <v>35</v>
      </c>
      <c r="E14" s="274" t="s">
        <v>373</v>
      </c>
      <c r="G14" s="274" t="s">
        <v>444</v>
      </c>
      <c r="H14" s="274">
        <v>0.6</v>
      </c>
      <c r="I14" s="279">
        <v>0.6</v>
      </c>
      <c r="J14" s="274" t="s">
        <v>324</v>
      </c>
      <c r="L14" s="274" t="s">
        <v>615</v>
      </c>
      <c r="M14" s="274">
        <v>-100</v>
      </c>
      <c r="N14" s="279">
        <v>-100</v>
      </c>
      <c r="O14" s="274" t="s">
        <v>611</v>
      </c>
      <c r="P14" s="274"/>
      <c r="Q14" s="274" t="s">
        <v>472</v>
      </c>
      <c r="R14" s="274">
        <v>-6</v>
      </c>
      <c r="S14" s="285"/>
      <c r="T14" s="308" t="s">
        <v>471</v>
      </c>
      <c r="U14" t="s">
        <v>35</v>
      </c>
      <c r="V14">
        <v>10</v>
      </c>
    </row>
    <row r="15" spans="1:30" x14ac:dyDescent="0.25">
      <c r="B15" s="280" t="s">
        <v>405</v>
      </c>
      <c r="C15" s="274">
        <v>-650</v>
      </c>
      <c r="D15" s="279">
        <v>-650</v>
      </c>
      <c r="E15" s="274" t="s">
        <v>347</v>
      </c>
      <c r="G15" s="274"/>
      <c r="H15" s="274"/>
      <c r="I15" s="274"/>
      <c r="J15" s="274"/>
      <c r="L15" s="274"/>
      <c r="M15" s="274"/>
      <c r="N15" s="274"/>
      <c r="O15" s="274"/>
      <c r="P15" s="274"/>
      <c r="U15" t="s">
        <v>36</v>
      </c>
      <c r="V15" s="15">
        <v>0.4</v>
      </c>
    </row>
    <row r="16" spans="1:30" x14ac:dyDescent="0.25">
      <c r="B16" s="274" t="s">
        <v>223</v>
      </c>
      <c r="C16" s="274">
        <v>48</v>
      </c>
      <c r="D16" s="279">
        <v>48</v>
      </c>
      <c r="E16" s="274" t="s">
        <v>373</v>
      </c>
      <c r="G16" s="280" t="s">
        <v>4</v>
      </c>
      <c r="H16" s="274">
        <v>-800</v>
      </c>
      <c r="I16" s="282">
        <v>-800</v>
      </c>
      <c r="J16" s="290" t="s">
        <v>347</v>
      </c>
      <c r="L16" s="274"/>
      <c r="M16" s="274"/>
      <c r="N16" s="274"/>
      <c r="O16" s="274"/>
      <c r="P16" s="274"/>
      <c r="U16" t="s">
        <v>37</v>
      </c>
      <c r="V16" s="15">
        <v>0.5</v>
      </c>
    </row>
    <row r="17" spans="2:23" x14ac:dyDescent="0.25">
      <c r="B17" s="394" t="s">
        <v>202</v>
      </c>
      <c r="C17">
        <v>-500</v>
      </c>
      <c r="E17" s="274"/>
      <c r="G17" s="274" t="s">
        <v>446</v>
      </c>
      <c r="H17" s="289">
        <f>24/C8/N19</f>
        <v>1.9480519480519478</v>
      </c>
      <c r="I17" s="291">
        <v>1.95</v>
      </c>
      <c r="J17" s="274" t="s">
        <v>324</v>
      </c>
      <c r="L17" s="274" t="s">
        <v>463</v>
      </c>
      <c r="M17" s="277">
        <v>0.55000000000000004</v>
      </c>
      <c r="N17" s="291">
        <v>0.55000000000000004</v>
      </c>
      <c r="O17" s="308" t="s">
        <v>454</v>
      </c>
      <c r="P17" s="308"/>
      <c r="U17" t="s">
        <v>38</v>
      </c>
      <c r="V17">
        <v>1.1100000000000001</v>
      </c>
    </row>
    <row r="18" spans="2:23" x14ac:dyDescent="0.25">
      <c r="B18" s="274"/>
      <c r="C18" s="274"/>
      <c r="D18" s="279"/>
      <c r="E18" s="274"/>
      <c r="G18" s="274" t="s">
        <v>440</v>
      </c>
      <c r="H18" s="289">
        <f>24/C8/N19</f>
        <v>1.9480519480519478</v>
      </c>
      <c r="I18" s="291">
        <v>1.95</v>
      </c>
      <c r="J18" s="274" t="s">
        <v>324</v>
      </c>
      <c r="L18" s="274" t="s">
        <v>464</v>
      </c>
      <c r="M18" s="277">
        <v>0.16</v>
      </c>
      <c r="N18" s="291">
        <v>0.16</v>
      </c>
      <c r="O18" s="308" t="s">
        <v>408</v>
      </c>
      <c r="P18" s="308"/>
      <c r="U18" t="s">
        <v>39</v>
      </c>
      <c r="V18">
        <v>0.25</v>
      </c>
    </row>
    <row r="19" spans="2:23" x14ac:dyDescent="0.25">
      <c r="B19" s="274"/>
      <c r="C19" s="274"/>
      <c r="D19" s="279"/>
      <c r="E19" s="274"/>
      <c r="G19" s="274" t="s">
        <v>447</v>
      </c>
      <c r="H19" s="289">
        <f>24/C8/N21</f>
        <v>0.77922077922077926</v>
      </c>
      <c r="I19" s="291">
        <v>0.78</v>
      </c>
      <c r="J19" s="274" t="s">
        <v>324</v>
      </c>
      <c r="L19" s="274" t="s">
        <v>465</v>
      </c>
      <c r="M19" s="277">
        <v>0.28000000000000003</v>
      </c>
      <c r="N19" s="291">
        <v>0.28000000000000003</v>
      </c>
      <c r="O19" s="308" t="s">
        <v>454</v>
      </c>
      <c r="P19" s="308"/>
    </row>
    <row r="20" spans="2:23" x14ac:dyDescent="0.25">
      <c r="B20" s="275" t="s">
        <v>433</v>
      </c>
      <c r="C20" s="274"/>
      <c r="D20" s="279"/>
      <c r="E20" s="274" t="s">
        <v>434</v>
      </c>
      <c r="G20" s="274" t="s">
        <v>448</v>
      </c>
      <c r="H20" s="289">
        <f>24/C8/N21</f>
        <v>0.77922077922077926</v>
      </c>
      <c r="I20" s="291">
        <v>0.78</v>
      </c>
      <c r="J20" s="274" t="s">
        <v>324</v>
      </c>
      <c r="L20" s="274" t="s">
        <v>466</v>
      </c>
      <c r="M20" s="277">
        <v>0.2</v>
      </c>
      <c r="N20" s="291">
        <v>0.2</v>
      </c>
      <c r="O20" s="308" t="s">
        <v>408</v>
      </c>
      <c r="P20" s="308"/>
    </row>
    <row r="21" spans="2:23" x14ac:dyDescent="0.25">
      <c r="B21" s="234" t="s">
        <v>73</v>
      </c>
      <c r="C21" s="234">
        <v>15</v>
      </c>
      <c r="D21" s="279">
        <v>15</v>
      </c>
      <c r="E21" s="274" t="s">
        <v>434</v>
      </c>
      <c r="G21" s="274" t="s">
        <v>449</v>
      </c>
      <c r="H21" s="289">
        <v>0.82</v>
      </c>
      <c r="I21" s="291">
        <v>0.82</v>
      </c>
      <c r="J21" s="274" t="s">
        <v>324</v>
      </c>
      <c r="L21" s="274" t="s">
        <v>467</v>
      </c>
      <c r="M21" s="277">
        <v>0.7</v>
      </c>
      <c r="N21" s="291">
        <v>0.7</v>
      </c>
      <c r="O21" s="308" t="s">
        <v>454</v>
      </c>
      <c r="P21" s="308"/>
      <c r="U21" s="1" t="s">
        <v>109</v>
      </c>
    </row>
    <row r="22" spans="2:23" x14ac:dyDescent="0.25">
      <c r="B22" s="234" t="s">
        <v>74</v>
      </c>
      <c r="C22" s="234">
        <v>25</v>
      </c>
      <c r="D22" s="279">
        <v>25</v>
      </c>
      <c r="E22" s="274" t="s">
        <v>434</v>
      </c>
      <c r="G22" s="274" t="s">
        <v>442</v>
      </c>
      <c r="H22" s="289">
        <v>0.82</v>
      </c>
      <c r="I22" s="291">
        <v>0.82</v>
      </c>
      <c r="J22" s="274" t="s">
        <v>324</v>
      </c>
      <c r="L22" s="274" t="s">
        <v>468</v>
      </c>
      <c r="M22" s="277">
        <v>0.4</v>
      </c>
      <c r="N22" s="291">
        <v>0.4</v>
      </c>
      <c r="O22" s="308" t="s">
        <v>408</v>
      </c>
      <c r="P22" s="308"/>
      <c r="U22" t="s">
        <v>119</v>
      </c>
      <c r="V22">
        <v>230</v>
      </c>
    </row>
    <row r="23" spans="2:23" x14ac:dyDescent="0.25">
      <c r="B23" s="274" t="s">
        <v>75</v>
      </c>
      <c r="C23" s="287">
        <v>51.5</v>
      </c>
      <c r="D23" s="282">
        <v>51.5</v>
      </c>
      <c r="G23" s="274"/>
      <c r="H23" s="274"/>
      <c r="I23" s="274"/>
      <c r="J23" s="274"/>
      <c r="L23" s="274" t="s">
        <v>469</v>
      </c>
      <c r="M23" s="277">
        <v>0.6</v>
      </c>
      <c r="N23" s="291">
        <v>0.6</v>
      </c>
      <c r="O23" s="308" t="s">
        <v>408</v>
      </c>
      <c r="P23" s="308"/>
      <c r="U23" t="s">
        <v>110</v>
      </c>
      <c r="V23">
        <v>277</v>
      </c>
    </row>
    <row r="24" spans="2:23" x14ac:dyDescent="0.25">
      <c r="B24" t="s">
        <v>513</v>
      </c>
      <c r="C24">
        <v>45</v>
      </c>
      <c r="G24" s="277"/>
      <c r="H24" s="395"/>
      <c r="I24" s="277"/>
      <c r="J24" s="277"/>
      <c r="L24" s="274" t="s">
        <v>470</v>
      </c>
      <c r="M24" s="277">
        <v>0.45</v>
      </c>
      <c r="N24" s="291">
        <v>0.45</v>
      </c>
      <c r="O24" s="308" t="s">
        <v>408</v>
      </c>
      <c r="P24" s="308"/>
      <c r="U24" t="s">
        <v>117</v>
      </c>
      <c r="V24">
        <v>277</v>
      </c>
    </row>
    <row r="25" spans="2:23" x14ac:dyDescent="0.25">
      <c r="G25" s="396" t="s">
        <v>236</v>
      </c>
      <c r="H25" s="277"/>
      <c r="I25" s="277"/>
      <c r="J25" s="277"/>
      <c r="L25" s="274" t="s">
        <v>616</v>
      </c>
      <c r="M25" s="277">
        <v>0.6</v>
      </c>
      <c r="N25" s="279">
        <v>0.6</v>
      </c>
      <c r="O25" s="308" t="s">
        <v>408</v>
      </c>
      <c r="P25" s="308"/>
      <c r="U25" t="s">
        <v>111</v>
      </c>
      <c r="V25">
        <v>234</v>
      </c>
    </row>
    <row r="26" spans="2:23" x14ac:dyDescent="0.25">
      <c r="G26" s="277" t="s">
        <v>619</v>
      </c>
      <c r="H26" s="277">
        <v>-12</v>
      </c>
      <c r="I26" s="279">
        <v>-12</v>
      </c>
      <c r="J26" s="277" t="s">
        <v>346</v>
      </c>
      <c r="L26" s="274" t="s">
        <v>617</v>
      </c>
      <c r="M26" s="277">
        <v>0.7</v>
      </c>
      <c r="N26" s="279">
        <v>0.7</v>
      </c>
      <c r="O26" s="308" t="s">
        <v>408</v>
      </c>
      <c r="P26" s="308"/>
      <c r="U26" t="s">
        <v>116</v>
      </c>
      <c r="V26">
        <v>254</v>
      </c>
    </row>
    <row r="27" spans="2:23" x14ac:dyDescent="0.25">
      <c r="G27" s="277" t="s">
        <v>620</v>
      </c>
      <c r="H27" s="277">
        <v>0.1</v>
      </c>
      <c r="I27" s="279">
        <v>0.1</v>
      </c>
      <c r="J27" s="277" t="s">
        <v>324</v>
      </c>
      <c r="L27" s="274" t="s">
        <v>411</v>
      </c>
      <c r="M27" s="277">
        <v>1.2</v>
      </c>
      <c r="N27" s="279">
        <v>1.2</v>
      </c>
      <c r="O27" s="308" t="s">
        <v>408</v>
      </c>
      <c r="P27" s="308"/>
      <c r="U27" t="s">
        <v>113</v>
      </c>
      <c r="V27">
        <v>380</v>
      </c>
    </row>
    <row r="28" spans="2:23" x14ac:dyDescent="0.25">
      <c r="G28" s="277"/>
      <c r="H28" s="277"/>
      <c r="I28" s="279"/>
      <c r="J28" s="277"/>
      <c r="L28" s="274" t="s">
        <v>542</v>
      </c>
      <c r="M28" s="277">
        <v>0.65</v>
      </c>
      <c r="N28" s="279">
        <v>0.65</v>
      </c>
      <c r="O28" s="308" t="s">
        <v>408</v>
      </c>
      <c r="P28" s="308"/>
      <c r="U28" t="s">
        <v>112</v>
      </c>
      <c r="V28">
        <v>199</v>
      </c>
    </row>
    <row r="29" spans="2:23" x14ac:dyDescent="0.25">
      <c r="G29" s="396" t="s">
        <v>3</v>
      </c>
      <c r="H29" s="277">
        <v>-675</v>
      </c>
      <c r="I29" s="279">
        <v>-675</v>
      </c>
      <c r="J29" s="277" t="s">
        <v>347</v>
      </c>
      <c r="L29" s="285" t="s">
        <v>618</v>
      </c>
      <c r="M29" s="285">
        <v>3.1</v>
      </c>
      <c r="N29" s="285">
        <v>3.1</v>
      </c>
      <c r="O29" s="398" t="s">
        <v>408</v>
      </c>
      <c r="P29" s="308"/>
      <c r="U29" t="s">
        <v>114</v>
      </c>
      <c r="V29">
        <v>299</v>
      </c>
    </row>
    <row r="30" spans="2:23" x14ac:dyDescent="0.25">
      <c r="G30" s="277" t="s">
        <v>621</v>
      </c>
      <c r="H30" s="277">
        <v>0.56000000000000005</v>
      </c>
      <c r="I30" s="279">
        <v>0.56000000000000005</v>
      </c>
      <c r="J30" s="277" t="s">
        <v>324</v>
      </c>
      <c r="L30" s="277" t="s">
        <v>638</v>
      </c>
      <c r="M30" s="277">
        <v>0.68899999999999995</v>
      </c>
      <c r="N30" s="277">
        <v>0.68899999999999995</v>
      </c>
      <c r="O30" s="308" t="s">
        <v>408</v>
      </c>
      <c r="P30" s="274"/>
      <c r="U30" t="s">
        <v>118</v>
      </c>
      <c r="V30">
        <v>336</v>
      </c>
    </row>
    <row r="31" spans="2:23" x14ac:dyDescent="0.25">
      <c r="G31" s="277" t="s">
        <v>622</v>
      </c>
      <c r="H31" s="277">
        <v>1.65</v>
      </c>
      <c r="I31" s="279">
        <v>1.65</v>
      </c>
      <c r="J31" s="277" t="s">
        <v>324</v>
      </c>
      <c r="L31" s="274"/>
      <c r="M31" s="274"/>
      <c r="N31" s="274"/>
      <c r="O31" s="274"/>
      <c r="P31" s="274"/>
      <c r="U31" t="s">
        <v>115</v>
      </c>
      <c r="V31">
        <v>286</v>
      </c>
      <c r="W31">
        <v>360</v>
      </c>
    </row>
    <row r="32" spans="2:23" x14ac:dyDescent="0.25">
      <c r="G32" s="277" t="s">
        <v>623</v>
      </c>
      <c r="H32" s="277">
        <v>0.59</v>
      </c>
      <c r="I32" s="279">
        <v>0.59</v>
      </c>
      <c r="J32" s="277" t="s">
        <v>324</v>
      </c>
      <c r="L32" s="274" t="s">
        <v>203</v>
      </c>
      <c r="M32" s="274">
        <v>-1120</v>
      </c>
      <c r="N32" s="274"/>
      <c r="O32" s="274"/>
      <c r="P32" s="274"/>
      <c r="U32" t="s">
        <v>239</v>
      </c>
      <c r="V32">
        <v>310</v>
      </c>
    </row>
    <row r="33" spans="9:19" x14ac:dyDescent="0.25">
      <c r="I33" s="277"/>
      <c r="J33" s="277"/>
      <c r="L33" s="274" t="s">
        <v>198</v>
      </c>
      <c r="M33" s="274">
        <v>70</v>
      </c>
      <c r="N33" s="274"/>
      <c r="O33" s="274"/>
      <c r="P33" s="274"/>
    </row>
    <row r="34" spans="9:19" x14ac:dyDescent="0.25">
      <c r="J34" s="286"/>
      <c r="L34" s="274" t="s">
        <v>199</v>
      </c>
      <c r="M34" s="274">
        <v>50</v>
      </c>
      <c r="N34" s="274"/>
      <c r="O34" s="274"/>
      <c r="P34" s="274"/>
    </row>
    <row r="35" spans="9:19" x14ac:dyDescent="0.25">
      <c r="J35" s="234"/>
      <c r="L35" s="274" t="s">
        <v>204</v>
      </c>
      <c r="M35" s="274">
        <v>-1120</v>
      </c>
      <c r="N35" s="274"/>
      <c r="O35" s="274"/>
      <c r="P35" s="274"/>
    </row>
    <row r="36" spans="9:19" x14ac:dyDescent="0.25">
      <c r="L36" s="274" t="s">
        <v>198</v>
      </c>
      <c r="M36" s="274">
        <v>50</v>
      </c>
      <c r="N36" s="274"/>
      <c r="O36" s="274"/>
      <c r="P36" s="274"/>
    </row>
    <row r="37" spans="9:19" x14ac:dyDescent="0.25">
      <c r="L37" s="274" t="s">
        <v>199</v>
      </c>
      <c r="M37" s="274">
        <v>40</v>
      </c>
      <c r="N37" s="274"/>
      <c r="O37" s="274"/>
    </row>
    <row r="42" spans="9:19" x14ac:dyDescent="0.25">
      <c r="S42" s="66"/>
    </row>
  </sheetData>
  <mergeCells count="8">
    <mergeCell ref="X7:X9"/>
    <mergeCell ref="Y7:Y9"/>
    <mergeCell ref="AB7:AB9"/>
    <mergeCell ref="AD7:AD9"/>
    <mergeCell ref="X10:X12"/>
    <mergeCell ref="Y10:Y12"/>
    <mergeCell ref="AB10:AB12"/>
    <mergeCell ref="AD10:AD12"/>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1">
    <tabColor theme="0" tint="-0.14999847407452621"/>
  </sheetPr>
  <dimension ref="A1:AH45"/>
  <sheetViews>
    <sheetView topLeftCell="F10" workbookViewId="0">
      <selection activeCell="M28" sqref="M28"/>
    </sheetView>
  </sheetViews>
  <sheetFormatPr defaultRowHeight="15" x14ac:dyDescent="0.25"/>
  <cols>
    <col min="1" max="1" width="9.140625" style="234"/>
    <col min="2" max="2" width="39.42578125" style="234" customWidth="1"/>
    <col min="3" max="3" width="15.28515625" style="234" customWidth="1"/>
    <col min="4" max="4" width="9" style="278" customWidth="1"/>
    <col min="5" max="5" width="13.85546875" style="234" customWidth="1"/>
    <col min="6" max="6" width="9.140625" style="234"/>
    <col min="7" max="7" width="30.5703125" style="234" customWidth="1"/>
    <col min="8" max="8" width="9.28515625" style="234" bestFit="1" customWidth="1"/>
    <col min="9" max="10" width="9.28515625" style="234" customWidth="1"/>
    <col min="11" max="11" width="9.85546875" style="234" customWidth="1"/>
    <col min="12" max="12" width="48.5703125" style="234" customWidth="1"/>
    <col min="13" max="13" width="9.28515625" style="234" bestFit="1" customWidth="1"/>
    <col min="14" max="14" width="9.28515625" style="286" customWidth="1"/>
    <col min="15" max="15" width="9.28515625" style="306" customWidth="1"/>
    <col min="16" max="16" width="9.140625" style="234"/>
    <col min="17" max="17" width="37.140625" style="234" bestFit="1" customWidth="1"/>
    <col min="18" max="18" width="9.28515625" style="234" bestFit="1" customWidth="1"/>
    <col min="19" max="19" width="11.28515625" style="234" bestFit="1" customWidth="1"/>
    <col min="20" max="20" width="11.28515625" style="306" customWidth="1"/>
    <col min="21" max="21" width="11.28515625" style="234" customWidth="1"/>
    <col min="22" max="22" width="40.42578125" style="234" bestFit="1" customWidth="1"/>
    <col min="23" max="24" width="9.140625" style="234"/>
    <col min="25" max="25" width="11.28515625" style="234" bestFit="1" customWidth="1"/>
    <col min="26" max="26" width="20.140625" style="234" customWidth="1"/>
    <col min="27" max="27" width="9.28515625" style="234" bestFit="1" customWidth="1"/>
    <col min="28" max="28" width="15.85546875" style="234" bestFit="1" customWidth="1"/>
    <col min="29" max="29" width="37.85546875" style="234" bestFit="1" customWidth="1"/>
    <col min="30" max="32" width="9.28515625" style="234" bestFit="1" customWidth="1"/>
    <col min="33" max="16384" width="9.140625" style="234"/>
  </cols>
  <sheetData>
    <row r="1" spans="1:34" x14ac:dyDescent="0.25">
      <c r="A1" s="239" t="s">
        <v>0</v>
      </c>
    </row>
    <row r="2" spans="1:34" x14ac:dyDescent="0.25">
      <c r="Q2" s="303"/>
      <c r="R2" s="303"/>
      <c r="S2" s="303"/>
      <c r="T2" s="307"/>
    </row>
    <row r="3" spans="1:34" x14ac:dyDescent="0.25">
      <c r="B3" s="276" t="s">
        <v>1</v>
      </c>
      <c r="C3" s="274"/>
      <c r="D3" s="279"/>
      <c r="E3" s="274"/>
      <c r="G3" s="276" t="s">
        <v>71</v>
      </c>
      <c r="H3" s="274"/>
      <c r="I3" s="274"/>
      <c r="J3" s="274"/>
      <c r="L3" s="276" t="s">
        <v>8</v>
      </c>
      <c r="M3" s="274"/>
      <c r="N3" s="285"/>
      <c r="O3" s="308"/>
      <c r="Q3" s="276" t="s">
        <v>279</v>
      </c>
      <c r="R3" s="274"/>
      <c r="S3" s="274"/>
      <c r="T3" s="308"/>
      <c r="V3" s="1" t="s">
        <v>34</v>
      </c>
      <c r="Z3" s="317" t="s">
        <v>88</v>
      </c>
      <c r="AA3" s="286"/>
      <c r="AB3" s="286"/>
      <c r="AC3" s="286"/>
      <c r="AD3" s="286"/>
      <c r="AE3" s="286"/>
      <c r="AF3" s="286"/>
      <c r="AG3" s="286"/>
      <c r="AH3" s="286"/>
    </row>
    <row r="4" spans="1:34" x14ac:dyDescent="0.25">
      <c r="B4" s="274"/>
      <c r="C4" s="274"/>
      <c r="D4" s="279"/>
      <c r="E4" s="274"/>
      <c r="G4" s="274"/>
      <c r="H4" s="274"/>
      <c r="I4" s="274"/>
      <c r="J4" s="274"/>
      <c r="L4" s="274"/>
      <c r="M4" s="274"/>
      <c r="N4" s="285"/>
      <c r="O4" s="308"/>
      <c r="Q4" s="274" t="s">
        <v>87</v>
      </c>
      <c r="R4" s="274"/>
      <c r="S4" s="294">
        <f>Rente</f>
        <v>5.5E-2</v>
      </c>
      <c r="T4" s="309"/>
      <c r="U4" s="66"/>
      <c r="Z4" s="286"/>
      <c r="AA4" s="286"/>
      <c r="AB4" s="286"/>
      <c r="AC4" s="286"/>
      <c r="AD4" s="286"/>
      <c r="AE4" s="286"/>
      <c r="AF4" s="286"/>
      <c r="AG4" s="286"/>
      <c r="AH4" s="286"/>
    </row>
    <row r="5" spans="1:34" x14ac:dyDescent="0.25">
      <c r="B5" s="275" t="s">
        <v>237</v>
      </c>
      <c r="C5" s="274" t="s">
        <v>422</v>
      </c>
      <c r="D5" s="279" t="s">
        <v>435</v>
      </c>
      <c r="E5" s="274"/>
      <c r="G5" s="275" t="s">
        <v>436</v>
      </c>
      <c r="H5" s="274"/>
      <c r="I5" s="274"/>
      <c r="J5" s="274"/>
      <c r="L5" s="277" t="s">
        <v>455</v>
      </c>
      <c r="M5" s="274">
        <v>-1560</v>
      </c>
      <c r="N5" s="285">
        <v>-1560</v>
      </c>
      <c r="O5" s="308" t="s">
        <v>347</v>
      </c>
      <c r="Q5" s="274" t="s">
        <v>367</v>
      </c>
      <c r="R5" s="274"/>
      <c r="S5" s="294">
        <v>0.1</v>
      </c>
      <c r="T5" s="309"/>
      <c r="U5" s="66"/>
      <c r="V5" s="235" t="s">
        <v>487</v>
      </c>
      <c r="W5" s="235">
        <v>0.6</v>
      </c>
      <c r="X5" s="235" t="s">
        <v>485</v>
      </c>
      <c r="Z5" s="286"/>
      <c r="AA5" s="286"/>
      <c r="AB5" s="286"/>
      <c r="AC5" s="286"/>
      <c r="AD5" s="286"/>
      <c r="AE5" s="286"/>
      <c r="AF5" s="286"/>
      <c r="AG5" s="286"/>
      <c r="AH5" s="286"/>
    </row>
    <row r="6" spans="1:34" x14ac:dyDescent="0.25">
      <c r="B6" s="280" t="s">
        <v>403</v>
      </c>
      <c r="C6" s="274">
        <v>-550</v>
      </c>
      <c r="D6" s="279">
        <v>-550</v>
      </c>
      <c r="E6" s="274" t="s">
        <v>347</v>
      </c>
      <c r="G6" s="280" t="s">
        <v>96</v>
      </c>
      <c r="H6" s="274">
        <v>-625</v>
      </c>
      <c r="I6" s="279">
        <v>-625</v>
      </c>
      <c r="J6" s="274" t="s">
        <v>347</v>
      </c>
      <c r="L6" s="277" t="s">
        <v>456</v>
      </c>
      <c r="M6" s="274">
        <v>5.8</v>
      </c>
      <c r="N6" s="285">
        <v>5.8</v>
      </c>
      <c r="O6" s="308" t="s">
        <v>453</v>
      </c>
      <c r="Q6" s="274"/>
      <c r="R6" s="277"/>
      <c r="S6" s="274"/>
      <c r="T6" s="308"/>
      <c r="V6" s="235" t="s">
        <v>488</v>
      </c>
      <c r="W6" s="235">
        <v>10</v>
      </c>
      <c r="X6" s="235" t="s">
        <v>486</v>
      </c>
      <c r="Z6" s="318" t="s">
        <v>96</v>
      </c>
      <c r="AA6" s="318" t="s">
        <v>91</v>
      </c>
      <c r="AB6" s="318" t="s">
        <v>92</v>
      </c>
      <c r="AC6" s="318" t="s">
        <v>94</v>
      </c>
      <c r="AD6" s="318" t="s">
        <v>95</v>
      </c>
      <c r="AE6" s="318" t="s">
        <v>93</v>
      </c>
      <c r="AF6" s="319" t="s">
        <v>97</v>
      </c>
      <c r="AG6" s="286"/>
      <c r="AH6" s="286"/>
    </row>
    <row r="7" spans="1:34" x14ac:dyDescent="0.25">
      <c r="B7" s="274" t="s">
        <v>431</v>
      </c>
      <c r="C7" s="277">
        <v>24</v>
      </c>
      <c r="D7" s="279">
        <v>24</v>
      </c>
      <c r="E7" s="277" t="s">
        <v>423</v>
      </c>
      <c r="G7" s="274" t="s">
        <v>437</v>
      </c>
      <c r="H7" s="274" t="e">
        <f>'DRIFT data'!E8/#REF!</f>
        <v>#REF!</v>
      </c>
      <c r="I7" s="291">
        <v>2.2999999999999998</v>
      </c>
      <c r="J7" s="274" t="s">
        <v>324</v>
      </c>
      <c r="L7" s="274" t="s">
        <v>457</v>
      </c>
      <c r="M7" s="274">
        <v>2.2999999999999998</v>
      </c>
      <c r="N7" s="285">
        <v>2.2999999999999998</v>
      </c>
      <c r="O7" s="308" t="s">
        <v>453</v>
      </c>
      <c r="Q7" s="296" t="s">
        <v>361</v>
      </c>
      <c r="R7" s="297"/>
      <c r="S7" s="277"/>
      <c r="T7" s="310"/>
      <c r="U7" s="2"/>
      <c r="V7" s="235" t="s">
        <v>36</v>
      </c>
      <c r="W7" s="237">
        <v>0.4</v>
      </c>
      <c r="X7" s="237"/>
      <c r="Z7" s="421" t="s">
        <v>12</v>
      </c>
      <c r="AA7" s="423">
        <v>280</v>
      </c>
      <c r="AB7" s="318">
        <v>12</v>
      </c>
      <c r="AC7" s="318">
        <v>63</v>
      </c>
      <c r="AD7" s="423">
        <f>AVERAGE(AC7:AC9)</f>
        <v>58</v>
      </c>
      <c r="AE7" s="318">
        <v>34</v>
      </c>
      <c r="AF7" s="424">
        <f>AVERAGE(AE7:AE9)</f>
        <v>31.333333333333332</v>
      </c>
      <c r="AG7" s="286"/>
      <c r="AH7" s="286"/>
    </row>
    <row r="8" spans="1:34" x14ac:dyDescent="0.25">
      <c r="B8" s="274" t="s">
        <v>427</v>
      </c>
      <c r="C8" s="274">
        <v>44</v>
      </c>
      <c r="D8" s="279">
        <v>44</v>
      </c>
      <c r="E8" s="274" t="s">
        <v>424</v>
      </c>
      <c r="G8" s="274" t="s">
        <v>438</v>
      </c>
      <c r="H8" s="289" t="e">
        <f>'DRIFT data'!G8/#REF!</f>
        <v>#REF!</v>
      </c>
      <c r="I8" s="279">
        <v>1.2</v>
      </c>
      <c r="J8" s="274" t="s">
        <v>324</v>
      </c>
      <c r="L8" s="277" t="s">
        <v>399</v>
      </c>
      <c r="M8" s="274">
        <v>-605</v>
      </c>
      <c r="N8" s="285">
        <v>-605</v>
      </c>
      <c r="O8" s="308" t="s">
        <v>347</v>
      </c>
      <c r="Q8" s="297" t="s">
        <v>475</v>
      </c>
      <c r="R8" s="297"/>
      <c r="S8" s="298">
        <v>-3100000</v>
      </c>
      <c r="T8" s="311" t="s">
        <v>299</v>
      </c>
      <c r="U8" s="240"/>
      <c r="V8" s="235" t="s">
        <v>37</v>
      </c>
      <c r="W8" s="237">
        <v>0.5</v>
      </c>
      <c r="X8" s="237"/>
      <c r="Z8" s="422"/>
      <c r="AA8" s="423"/>
      <c r="AB8" s="318">
        <v>22</v>
      </c>
      <c r="AC8" s="318">
        <v>56</v>
      </c>
      <c r="AD8" s="423"/>
      <c r="AE8" s="318">
        <v>31</v>
      </c>
      <c r="AF8" s="424"/>
      <c r="AG8" s="286"/>
      <c r="AH8" s="286"/>
    </row>
    <row r="9" spans="1:34" x14ac:dyDescent="0.25">
      <c r="B9" s="274" t="s">
        <v>428</v>
      </c>
      <c r="C9" s="274">
        <v>12</v>
      </c>
      <c r="D9" s="279">
        <v>12</v>
      </c>
      <c r="E9" s="274" t="s">
        <v>424</v>
      </c>
      <c r="G9" s="274" t="s">
        <v>439</v>
      </c>
      <c r="H9" s="274" t="e">
        <f>'DRIFT data'!E5/#REF!</f>
        <v>#REF!</v>
      </c>
      <c r="I9" s="291">
        <v>5.8</v>
      </c>
      <c r="J9" s="274" t="s">
        <v>324</v>
      </c>
      <c r="L9" s="274" t="s">
        <v>458</v>
      </c>
      <c r="M9" s="274">
        <v>-70</v>
      </c>
      <c r="N9" s="285">
        <v>-70</v>
      </c>
      <c r="O9" s="308" t="s">
        <v>346</v>
      </c>
      <c r="Q9" s="297" t="s">
        <v>476</v>
      </c>
      <c r="R9" s="297"/>
      <c r="S9" s="298">
        <v>-1250000</v>
      </c>
      <c r="T9" s="311" t="s">
        <v>299</v>
      </c>
      <c r="U9" s="240"/>
      <c r="V9" s="234" t="s">
        <v>489</v>
      </c>
      <c r="W9" s="234">
        <v>1.1100000000000001</v>
      </c>
      <c r="X9" s="234" t="s">
        <v>485</v>
      </c>
      <c r="Z9" s="422"/>
      <c r="AA9" s="423"/>
      <c r="AB9" s="318">
        <v>44</v>
      </c>
      <c r="AC9" s="318">
        <v>55</v>
      </c>
      <c r="AD9" s="423"/>
      <c r="AE9" s="318">
        <v>29</v>
      </c>
      <c r="AF9" s="424"/>
      <c r="AG9" s="286"/>
      <c r="AH9" s="286"/>
    </row>
    <row r="10" spans="1:34" x14ac:dyDescent="0.25">
      <c r="B10" s="274"/>
      <c r="C10" s="274"/>
      <c r="D10" s="279"/>
      <c r="E10" s="274"/>
      <c r="G10" s="274" t="s">
        <v>440</v>
      </c>
      <c r="H10" s="289" t="e">
        <f>'DRIFT data'!G5/#REF!</f>
        <v>#REF!</v>
      </c>
      <c r="I10" s="291">
        <v>3.1</v>
      </c>
      <c r="J10" s="274" t="s">
        <v>324</v>
      </c>
      <c r="L10" s="274" t="s">
        <v>459</v>
      </c>
      <c r="M10" s="274">
        <v>-80</v>
      </c>
      <c r="N10" s="285">
        <v>-80</v>
      </c>
      <c r="O10" s="308" t="s">
        <v>395</v>
      </c>
      <c r="Q10" s="297" t="s">
        <v>477</v>
      </c>
      <c r="R10" s="297"/>
      <c r="S10" s="299">
        <v>-373000</v>
      </c>
      <c r="T10" s="311" t="s">
        <v>299</v>
      </c>
      <c r="U10" s="240"/>
      <c r="V10" s="234" t="s">
        <v>490</v>
      </c>
      <c r="W10" s="234">
        <v>0.25</v>
      </c>
      <c r="X10" s="234" t="s">
        <v>485</v>
      </c>
      <c r="Z10" s="422" t="s">
        <v>89</v>
      </c>
      <c r="AA10" s="423">
        <v>700</v>
      </c>
      <c r="AB10" s="318">
        <v>12</v>
      </c>
      <c r="AC10" s="318">
        <v>25</v>
      </c>
      <c r="AD10" s="423">
        <f>AVERAGE(AC10:AC12)</f>
        <v>23</v>
      </c>
      <c r="AE10" s="318">
        <v>14</v>
      </c>
      <c r="AF10" s="424">
        <f>AVERAGE(AE10:AE12)</f>
        <v>12.333333333333334</v>
      </c>
      <c r="AG10" s="286"/>
      <c r="AH10" s="286"/>
    </row>
    <row r="11" spans="1:34" ht="15.75" thickBot="1" x14ac:dyDescent="0.3">
      <c r="A11" s="274"/>
      <c r="B11" s="275" t="s">
        <v>235</v>
      </c>
      <c r="C11" s="274"/>
      <c r="D11" s="279"/>
      <c r="E11" s="274"/>
      <c r="G11" s="274" t="s">
        <v>441</v>
      </c>
      <c r="H11" s="289">
        <f>'DRIFT data'!E11/Indtastningsark_halm!C6</f>
        <v>2.6627218934911245</v>
      </c>
      <c r="I11" s="291">
        <v>2.7</v>
      </c>
      <c r="J11" s="274" t="s">
        <v>324</v>
      </c>
      <c r="L11" s="274" t="s">
        <v>460</v>
      </c>
      <c r="M11" s="287">
        <f>F_Storballepresser/Bigballevægt</f>
        <v>-145.45454545454544</v>
      </c>
      <c r="N11" s="293">
        <v>-145</v>
      </c>
      <c r="O11" s="314" t="s">
        <v>346</v>
      </c>
      <c r="Q11" s="297" t="s">
        <v>478</v>
      </c>
      <c r="R11" s="297"/>
      <c r="S11" s="300">
        <f>SUM(S8:S10)</f>
        <v>-4723000</v>
      </c>
      <c r="T11" s="311" t="s">
        <v>299</v>
      </c>
      <c r="U11" s="240"/>
      <c r="Z11" s="422"/>
      <c r="AA11" s="423"/>
      <c r="AB11" s="318">
        <v>22</v>
      </c>
      <c r="AC11" s="318">
        <v>22</v>
      </c>
      <c r="AD11" s="423"/>
      <c r="AE11" s="318">
        <v>12</v>
      </c>
      <c r="AF11" s="424"/>
      <c r="AG11" s="286"/>
      <c r="AH11" s="286"/>
    </row>
    <row r="12" spans="1:34" ht="15.75" thickTop="1" x14ac:dyDescent="0.25">
      <c r="A12" s="274"/>
      <c r="B12" s="280" t="s">
        <v>325</v>
      </c>
      <c r="C12" s="274">
        <v>-650</v>
      </c>
      <c r="D12" s="279">
        <v>-650</v>
      </c>
      <c r="E12" s="274" t="s">
        <v>347</v>
      </c>
      <c r="G12" s="274" t="s">
        <v>442</v>
      </c>
      <c r="H12" s="289">
        <f>'DRIFT data'!G11/Indtastningsark_halm!C6</f>
        <v>2.0710059171597632</v>
      </c>
      <c r="I12" s="291">
        <v>2.1</v>
      </c>
      <c r="J12" s="274" t="s">
        <v>324</v>
      </c>
      <c r="L12" s="274" t="s">
        <v>461</v>
      </c>
      <c r="M12" s="274">
        <v>-50</v>
      </c>
      <c r="N12" s="285">
        <v>-50</v>
      </c>
      <c r="O12" s="308" t="s">
        <v>395</v>
      </c>
      <c r="Q12" s="297" t="s">
        <v>484</v>
      </c>
      <c r="R12" s="297"/>
      <c r="S12" s="298">
        <v>-60</v>
      </c>
      <c r="T12" s="311" t="s">
        <v>377</v>
      </c>
      <c r="U12" s="240"/>
      <c r="Z12" s="422"/>
      <c r="AA12" s="423"/>
      <c r="AB12" s="318">
        <v>44</v>
      </c>
      <c r="AC12" s="318">
        <v>22</v>
      </c>
      <c r="AD12" s="423"/>
      <c r="AE12" s="318">
        <v>11</v>
      </c>
      <c r="AF12" s="424"/>
      <c r="AG12" s="286"/>
      <c r="AH12" s="286"/>
    </row>
    <row r="13" spans="1:34" x14ac:dyDescent="0.25">
      <c r="A13" s="274"/>
      <c r="B13" s="274" t="s">
        <v>429</v>
      </c>
      <c r="C13" s="277">
        <v>20</v>
      </c>
      <c r="D13" s="279">
        <v>20</v>
      </c>
      <c r="E13" s="277" t="s">
        <v>224</v>
      </c>
      <c r="G13" s="274" t="s">
        <v>443</v>
      </c>
      <c r="H13" s="289">
        <f>H12</f>
        <v>2.0710059171597632</v>
      </c>
      <c r="I13" s="279">
        <v>2.1</v>
      </c>
      <c r="J13" s="274" t="s">
        <v>324</v>
      </c>
      <c r="L13" s="274" t="s">
        <v>462</v>
      </c>
      <c r="M13" s="274">
        <v>-100</v>
      </c>
      <c r="N13" s="285">
        <v>-100</v>
      </c>
      <c r="O13" s="308" t="s">
        <v>395</v>
      </c>
      <c r="Q13" s="297" t="s">
        <v>479</v>
      </c>
      <c r="R13" s="297"/>
      <c r="S13" s="298">
        <f>BrDrift*Energipris</f>
        <v>-36</v>
      </c>
      <c r="T13" s="311" t="s">
        <v>346</v>
      </c>
      <c r="U13" s="240"/>
      <c r="V13" s="1" t="s">
        <v>109</v>
      </c>
      <c r="Z13" s="320" t="s">
        <v>90</v>
      </c>
      <c r="AA13" s="321">
        <v>550</v>
      </c>
      <c r="AB13" s="318">
        <v>24</v>
      </c>
      <c r="AC13" s="318">
        <v>9</v>
      </c>
      <c r="AD13" s="321">
        <f>AC13</f>
        <v>9</v>
      </c>
      <c r="AE13" s="318">
        <v>7</v>
      </c>
      <c r="AF13" s="321">
        <f>AE13</f>
        <v>7</v>
      </c>
      <c r="AG13" s="286"/>
      <c r="AH13" s="286"/>
    </row>
    <row r="14" spans="1:34" ht="18.75" x14ac:dyDescent="0.35">
      <c r="A14" s="274"/>
      <c r="B14" s="274" t="s">
        <v>223</v>
      </c>
      <c r="C14" s="274">
        <f>F_kapacitet_baller_1mand*Bigballevægt</f>
        <v>11</v>
      </c>
      <c r="D14" s="279">
        <v>11</v>
      </c>
      <c r="E14" s="274" t="s">
        <v>351</v>
      </c>
      <c r="G14" s="274" t="s">
        <v>444</v>
      </c>
      <c r="H14" s="274">
        <v>0.6</v>
      </c>
      <c r="I14" s="279">
        <v>0.6</v>
      </c>
      <c r="J14" s="274" t="s">
        <v>324</v>
      </c>
      <c r="L14" s="274"/>
      <c r="M14" s="274"/>
      <c r="N14" s="285"/>
      <c r="O14" s="308"/>
      <c r="Q14" s="297" t="s">
        <v>480</v>
      </c>
      <c r="R14" s="297"/>
      <c r="S14" s="298">
        <v>-40</v>
      </c>
      <c r="T14" s="311" t="s">
        <v>346</v>
      </c>
      <c r="U14" s="240"/>
      <c r="V14" s="234" t="s">
        <v>81</v>
      </c>
      <c r="W14" s="234">
        <v>230</v>
      </c>
      <c r="X14" s="234" t="s">
        <v>491</v>
      </c>
    </row>
    <row r="15" spans="1:34" ht="18.75" x14ac:dyDescent="0.35">
      <c r="A15" s="274"/>
      <c r="B15" s="274"/>
      <c r="C15" s="274"/>
      <c r="D15" s="279"/>
      <c r="E15" s="274"/>
      <c r="G15" s="274"/>
      <c r="H15" s="274"/>
      <c r="I15" s="274"/>
      <c r="J15" s="274"/>
      <c r="L15" s="276" t="s">
        <v>451</v>
      </c>
      <c r="M15" s="274"/>
      <c r="N15" s="285"/>
      <c r="O15" s="308"/>
      <c r="Q15" s="297" t="s">
        <v>255</v>
      </c>
      <c r="R15" s="297"/>
      <c r="S15" s="298">
        <v>-50000</v>
      </c>
      <c r="T15" s="311" t="s">
        <v>363</v>
      </c>
      <c r="U15" s="240"/>
      <c r="V15" s="234" t="s">
        <v>207</v>
      </c>
      <c r="W15" s="234">
        <v>277</v>
      </c>
      <c r="X15" s="234" t="s">
        <v>491</v>
      </c>
    </row>
    <row r="16" spans="1:34" ht="18.75" x14ac:dyDescent="0.35">
      <c r="A16" s="274"/>
      <c r="B16" s="275" t="s">
        <v>432</v>
      </c>
      <c r="C16" s="274"/>
      <c r="D16" s="279"/>
      <c r="E16" s="274"/>
      <c r="G16" s="280" t="s">
        <v>4</v>
      </c>
      <c r="H16" s="274">
        <v>-800</v>
      </c>
      <c r="I16" s="282">
        <v>-800</v>
      </c>
      <c r="J16" s="290" t="s">
        <v>347</v>
      </c>
      <c r="L16" s="276"/>
      <c r="M16" s="274"/>
      <c r="N16" s="285"/>
      <c r="O16" s="308"/>
      <c r="Q16" s="297" t="s">
        <v>483</v>
      </c>
      <c r="R16" s="274"/>
      <c r="S16" s="298">
        <v>10000</v>
      </c>
      <c r="T16" s="311" t="s">
        <v>346</v>
      </c>
      <c r="U16" s="240"/>
      <c r="V16" s="234" t="s">
        <v>249</v>
      </c>
      <c r="W16" s="234">
        <v>277</v>
      </c>
      <c r="X16" s="234" t="s">
        <v>491</v>
      </c>
    </row>
    <row r="17" spans="1:24" ht="18.75" x14ac:dyDescent="0.35">
      <c r="A17" s="274"/>
      <c r="B17" s="280" t="s">
        <v>402</v>
      </c>
      <c r="C17" s="274">
        <v>-625</v>
      </c>
      <c r="D17" s="279">
        <v>-625</v>
      </c>
      <c r="E17" s="274" t="s">
        <v>347</v>
      </c>
      <c r="G17" s="274" t="s">
        <v>446</v>
      </c>
      <c r="H17" s="289">
        <f>24/C8/M19</f>
        <v>1.9480519480519478</v>
      </c>
      <c r="I17" s="291">
        <v>1.95</v>
      </c>
      <c r="J17" s="274" t="s">
        <v>324</v>
      </c>
      <c r="L17" s="274" t="s">
        <v>463</v>
      </c>
      <c r="M17" s="289">
        <v>0.55000000000000004</v>
      </c>
      <c r="N17" s="285">
        <v>0.55000000000000004</v>
      </c>
      <c r="O17" s="308" t="s">
        <v>454</v>
      </c>
      <c r="Q17" s="297" t="s">
        <v>368</v>
      </c>
      <c r="R17" s="297"/>
      <c r="S17" s="298">
        <v>10</v>
      </c>
      <c r="T17" s="311" t="s">
        <v>364</v>
      </c>
      <c r="U17" s="241"/>
      <c r="V17" s="234" t="s">
        <v>48</v>
      </c>
      <c r="W17" s="234">
        <v>234</v>
      </c>
      <c r="X17" s="234" t="s">
        <v>491</v>
      </c>
    </row>
    <row r="18" spans="1:24" ht="18.75" x14ac:dyDescent="0.35">
      <c r="A18" s="274"/>
      <c r="B18" s="274" t="s">
        <v>431</v>
      </c>
      <c r="C18" s="277">
        <v>24</v>
      </c>
      <c r="D18" s="279">
        <v>24</v>
      </c>
      <c r="E18" s="277" t="s">
        <v>425</v>
      </c>
      <c r="G18" s="274" t="s">
        <v>440</v>
      </c>
      <c r="H18" s="289">
        <f>24/C8/M19</f>
        <v>1.9480519480519478</v>
      </c>
      <c r="I18" s="291">
        <v>1.95</v>
      </c>
      <c r="J18" s="274" t="s">
        <v>324</v>
      </c>
      <c r="L18" s="274" t="s">
        <v>464</v>
      </c>
      <c r="M18" s="289">
        <v>0.16</v>
      </c>
      <c r="N18" s="285">
        <v>0.16</v>
      </c>
      <c r="O18" s="308" t="s">
        <v>408</v>
      </c>
      <c r="Q18" s="297" t="s">
        <v>87</v>
      </c>
      <c r="R18" s="301"/>
      <c r="S18" s="316">
        <f>Rente</f>
        <v>5.5E-2</v>
      </c>
      <c r="T18" s="312"/>
      <c r="U18" s="242"/>
      <c r="V18" s="234" t="s">
        <v>493</v>
      </c>
      <c r="W18" s="234">
        <v>254</v>
      </c>
      <c r="X18" s="234" t="s">
        <v>491</v>
      </c>
    </row>
    <row r="19" spans="1:24" ht="18.75" x14ac:dyDescent="0.35">
      <c r="A19" s="274"/>
      <c r="B19" s="274" t="s">
        <v>427</v>
      </c>
      <c r="C19" s="274">
        <v>44</v>
      </c>
      <c r="D19" s="279">
        <v>44</v>
      </c>
      <c r="E19" s="274" t="s">
        <v>426</v>
      </c>
      <c r="G19" s="274" t="s">
        <v>447</v>
      </c>
      <c r="H19" s="289">
        <f>24/C8/M21</f>
        <v>0.77922077922077926</v>
      </c>
      <c r="I19" s="291">
        <v>0.78</v>
      </c>
      <c r="J19" s="274" t="s">
        <v>324</v>
      </c>
      <c r="L19" s="274" t="s">
        <v>465</v>
      </c>
      <c r="M19" s="289">
        <v>0.28000000000000003</v>
      </c>
      <c r="N19" s="285">
        <v>0.28000000000000003</v>
      </c>
      <c r="O19" s="308" t="s">
        <v>454</v>
      </c>
      <c r="Q19" s="301" t="s">
        <v>481</v>
      </c>
      <c r="R19" s="301"/>
      <c r="S19" s="302">
        <v>-240000</v>
      </c>
      <c r="T19" s="313" t="s">
        <v>474</v>
      </c>
      <c r="U19" s="242"/>
      <c r="V19" s="234" t="s">
        <v>494</v>
      </c>
      <c r="W19" s="234">
        <v>310</v>
      </c>
      <c r="X19" s="234" t="s">
        <v>491</v>
      </c>
    </row>
    <row r="20" spans="1:24" ht="18.75" x14ac:dyDescent="0.35">
      <c r="A20" s="274"/>
      <c r="B20" s="280" t="s">
        <v>183</v>
      </c>
      <c r="C20" s="274">
        <v>-575</v>
      </c>
      <c r="D20" s="279">
        <v>-575</v>
      </c>
      <c r="E20" s="274" t="s">
        <v>347</v>
      </c>
      <c r="G20" s="274" t="s">
        <v>448</v>
      </c>
      <c r="H20" s="289">
        <f>24/C8/M21</f>
        <v>0.77922077922077926</v>
      </c>
      <c r="I20" s="291">
        <v>0.78</v>
      </c>
      <c r="J20" s="274" t="s">
        <v>324</v>
      </c>
      <c r="L20" s="274" t="s">
        <v>466</v>
      </c>
      <c r="M20" s="289">
        <v>0.2</v>
      </c>
      <c r="N20" s="285">
        <v>0.2</v>
      </c>
      <c r="O20" s="308" t="s">
        <v>408</v>
      </c>
      <c r="Q20" s="301" t="s">
        <v>482</v>
      </c>
      <c r="R20" s="297"/>
      <c r="S20" s="302">
        <v>-1860000</v>
      </c>
      <c r="T20" s="313" t="s">
        <v>363</v>
      </c>
      <c r="U20" s="240"/>
      <c r="V20" s="234" t="s">
        <v>268</v>
      </c>
      <c r="W20" s="236">
        <f>W19*0.15+W19</f>
        <v>356.5</v>
      </c>
      <c r="X20" s="234" t="s">
        <v>491</v>
      </c>
    </row>
    <row r="21" spans="1:24" ht="18.75" x14ac:dyDescent="0.35">
      <c r="A21" s="274"/>
      <c r="B21" s="274" t="s">
        <v>223</v>
      </c>
      <c r="C21" s="274">
        <v>15</v>
      </c>
      <c r="D21" s="279">
        <v>15</v>
      </c>
      <c r="E21" s="274" t="s">
        <v>351</v>
      </c>
      <c r="G21" s="274" t="s">
        <v>449</v>
      </c>
      <c r="H21" s="289">
        <v>0.82</v>
      </c>
      <c r="I21" s="291">
        <v>0.82</v>
      </c>
      <c r="J21" s="274" t="s">
        <v>324</v>
      </c>
      <c r="L21" s="274" t="s">
        <v>467</v>
      </c>
      <c r="M21" s="289">
        <v>0.7</v>
      </c>
      <c r="N21" s="285">
        <v>0.7</v>
      </c>
      <c r="O21" s="308" t="s">
        <v>454</v>
      </c>
      <c r="Q21" s="274"/>
      <c r="R21" s="274"/>
      <c r="S21" s="274"/>
      <c r="T21" s="308"/>
      <c r="V21" s="234" t="s">
        <v>267</v>
      </c>
      <c r="W21" s="236">
        <f>W19*0.15+W19</f>
        <v>356.5</v>
      </c>
      <c r="X21" s="234" t="s">
        <v>491</v>
      </c>
    </row>
    <row r="22" spans="1:24" ht="18.75" x14ac:dyDescent="0.35">
      <c r="A22" s="274"/>
      <c r="B22" s="280" t="s">
        <v>5</v>
      </c>
      <c r="C22" s="274">
        <v>-675</v>
      </c>
      <c r="D22" s="279">
        <v>-675</v>
      </c>
      <c r="E22" s="274" t="s">
        <v>347</v>
      </c>
      <c r="G22" s="274" t="s">
        <v>442</v>
      </c>
      <c r="H22" s="289">
        <v>0.82</v>
      </c>
      <c r="I22" s="291">
        <v>0.82</v>
      </c>
      <c r="J22" s="274" t="s">
        <v>324</v>
      </c>
      <c r="L22" s="274" t="s">
        <v>468</v>
      </c>
      <c r="M22" s="289">
        <v>0.4</v>
      </c>
      <c r="N22" s="285">
        <v>0.4</v>
      </c>
      <c r="O22" s="308" t="s">
        <v>408</v>
      </c>
      <c r="Q22" s="281" t="s">
        <v>41</v>
      </c>
      <c r="R22" s="274"/>
      <c r="S22" s="274"/>
      <c r="T22" s="308"/>
      <c r="V22" s="286" t="s">
        <v>145</v>
      </c>
      <c r="W22" s="286">
        <v>380</v>
      </c>
      <c r="X22" s="286" t="s">
        <v>492</v>
      </c>
    </row>
    <row r="23" spans="1:24" ht="19.5" thickBot="1" x14ac:dyDescent="0.4">
      <c r="A23" s="274"/>
      <c r="B23" s="274" t="s">
        <v>223</v>
      </c>
      <c r="C23" s="274">
        <v>34</v>
      </c>
      <c r="D23" s="279">
        <v>34</v>
      </c>
      <c r="E23" s="274" t="s">
        <v>351</v>
      </c>
      <c r="G23" s="274"/>
      <c r="H23" s="274"/>
      <c r="I23" s="274"/>
      <c r="J23" s="274"/>
      <c r="L23" s="274" t="s">
        <v>469</v>
      </c>
      <c r="M23" s="289">
        <v>0.6</v>
      </c>
      <c r="N23" s="285">
        <v>0.6</v>
      </c>
      <c r="O23" s="308" t="s">
        <v>408</v>
      </c>
      <c r="Q23" s="274" t="s">
        <v>365</v>
      </c>
      <c r="R23" s="274"/>
      <c r="S23" s="304">
        <v>-5500000</v>
      </c>
      <c r="T23" s="308" t="s">
        <v>299</v>
      </c>
      <c r="V23" s="286" t="s">
        <v>135</v>
      </c>
      <c r="W23" s="286">
        <v>199</v>
      </c>
      <c r="X23" s="286" t="s">
        <v>492</v>
      </c>
    </row>
    <row r="24" spans="1:24" ht="19.5" thickTop="1" x14ac:dyDescent="0.35">
      <c r="A24" s="274"/>
      <c r="B24" s="280" t="s">
        <v>404</v>
      </c>
      <c r="C24" s="274">
        <v>-625</v>
      </c>
      <c r="D24" s="279">
        <v>-625</v>
      </c>
      <c r="E24" s="274" t="s">
        <v>347</v>
      </c>
      <c r="G24" s="280" t="s">
        <v>2</v>
      </c>
      <c r="H24" s="274">
        <v>-650</v>
      </c>
      <c r="I24" s="279">
        <v>-650</v>
      </c>
      <c r="J24" s="274" t="s">
        <v>347</v>
      </c>
      <c r="L24" s="274" t="s">
        <v>470</v>
      </c>
      <c r="M24" s="289">
        <v>0.45</v>
      </c>
      <c r="N24" s="285">
        <v>0.45</v>
      </c>
      <c r="O24" s="308" t="s">
        <v>408</v>
      </c>
      <c r="Q24" s="274" t="s">
        <v>479</v>
      </c>
      <c r="R24" s="274"/>
      <c r="S24" s="305">
        <v>-123</v>
      </c>
      <c r="T24" s="311" t="s">
        <v>377</v>
      </c>
      <c r="V24" s="286" t="s">
        <v>136</v>
      </c>
      <c r="W24" s="286">
        <v>299</v>
      </c>
      <c r="X24" s="286" t="s">
        <v>492</v>
      </c>
    </row>
    <row r="25" spans="1:24" ht="18.75" x14ac:dyDescent="0.35">
      <c r="A25" s="274"/>
      <c r="B25" s="274" t="s">
        <v>223</v>
      </c>
      <c r="C25" s="274">
        <v>35</v>
      </c>
      <c r="D25" s="279">
        <v>35</v>
      </c>
      <c r="E25" s="274" t="s">
        <v>373</v>
      </c>
      <c r="G25" s="274" t="s">
        <v>450</v>
      </c>
      <c r="H25" s="289">
        <v>3</v>
      </c>
      <c r="I25" s="291">
        <v>3</v>
      </c>
      <c r="J25" s="274" t="s">
        <v>445</v>
      </c>
      <c r="L25" s="274"/>
      <c r="M25" s="274"/>
      <c r="N25" s="285"/>
      <c r="O25" s="308"/>
      <c r="Q25" s="274" t="s">
        <v>480</v>
      </c>
      <c r="R25" s="274"/>
      <c r="S25" s="305">
        <v>-25</v>
      </c>
      <c r="T25" s="311" t="s">
        <v>346</v>
      </c>
      <c r="V25" s="286" t="s">
        <v>495</v>
      </c>
      <c r="W25" s="286">
        <v>336</v>
      </c>
      <c r="X25" s="286" t="s">
        <v>492</v>
      </c>
    </row>
    <row r="26" spans="1:24" ht="19.5" thickBot="1" x14ac:dyDescent="0.4">
      <c r="A26" s="274"/>
      <c r="B26" s="280" t="s">
        <v>405</v>
      </c>
      <c r="C26" s="274">
        <v>-650</v>
      </c>
      <c r="D26" s="279">
        <v>-650</v>
      </c>
      <c r="E26" s="274" t="s">
        <v>347</v>
      </c>
      <c r="G26" s="274" t="s">
        <v>450</v>
      </c>
      <c r="H26" s="289">
        <f>H25/(C27*M24)</f>
        <v>0.13888888888888887</v>
      </c>
      <c r="I26" s="292">
        <v>0.14000000000000001</v>
      </c>
      <c r="J26" s="238" t="s">
        <v>324</v>
      </c>
      <c r="L26" s="276" t="s">
        <v>452</v>
      </c>
      <c r="M26" s="274"/>
      <c r="N26" s="285"/>
      <c r="O26" s="308"/>
      <c r="Q26" s="274" t="s">
        <v>366</v>
      </c>
      <c r="R26" s="274"/>
      <c r="S26" s="304">
        <f>(S24*Energipris)+S25</f>
        <v>-98.8</v>
      </c>
      <c r="T26" s="311" t="s">
        <v>346</v>
      </c>
      <c r="V26" s="286" t="s">
        <v>256</v>
      </c>
      <c r="W26" s="286">
        <v>360</v>
      </c>
      <c r="X26" s="286" t="s">
        <v>492</v>
      </c>
    </row>
    <row r="27" spans="1:24" ht="15.75" thickTop="1" x14ac:dyDescent="0.25">
      <c r="A27" s="274"/>
      <c r="B27" s="274" t="s">
        <v>223</v>
      </c>
      <c r="C27" s="274">
        <v>48</v>
      </c>
      <c r="D27" s="279">
        <v>48</v>
      </c>
      <c r="E27" s="274" t="s">
        <v>373</v>
      </c>
      <c r="H27" s="238"/>
      <c r="I27" s="238"/>
      <c r="J27" s="238"/>
      <c r="L27" s="274"/>
      <c r="M27" s="274"/>
      <c r="N27" s="285"/>
      <c r="O27" s="308"/>
      <c r="Q27" s="274" t="s">
        <v>255</v>
      </c>
      <c r="R27" s="274"/>
      <c r="S27" s="305">
        <v>-50000</v>
      </c>
      <c r="T27" s="311" t="s">
        <v>299</v>
      </c>
    </row>
    <row r="28" spans="1:24" x14ac:dyDescent="0.25">
      <c r="A28" s="274"/>
      <c r="B28" s="274"/>
      <c r="C28" s="274"/>
      <c r="D28" s="279"/>
      <c r="E28" s="274"/>
      <c r="H28" s="238"/>
      <c r="I28" s="238"/>
      <c r="J28" s="238"/>
      <c r="L28" s="274" t="s">
        <v>87</v>
      </c>
      <c r="M28" s="294">
        <v>5.5E-2</v>
      </c>
      <c r="N28" s="295"/>
      <c r="O28" s="309" t="s">
        <v>391</v>
      </c>
      <c r="Q28" s="274" t="s">
        <v>223</v>
      </c>
      <c r="R28" s="274"/>
      <c r="S28" s="305">
        <v>10000</v>
      </c>
      <c r="T28" s="311" t="s">
        <v>346</v>
      </c>
    </row>
    <row r="29" spans="1:24" x14ac:dyDescent="0.25">
      <c r="A29" s="274"/>
      <c r="B29" s="275" t="s">
        <v>433</v>
      </c>
      <c r="C29" s="274"/>
      <c r="D29" s="279"/>
      <c r="E29" s="274"/>
      <c r="H29" s="238"/>
      <c r="I29" s="238"/>
      <c r="J29" s="238"/>
      <c r="L29" s="274" t="s">
        <v>473</v>
      </c>
      <c r="M29" s="274">
        <v>10</v>
      </c>
      <c r="N29" s="285"/>
      <c r="O29" s="308" t="s">
        <v>364</v>
      </c>
      <c r="Q29" s="274" t="s">
        <v>368</v>
      </c>
      <c r="R29" s="274"/>
      <c r="S29" s="305">
        <v>10</v>
      </c>
      <c r="T29" s="308" t="s">
        <v>364</v>
      </c>
    </row>
    <row r="30" spans="1:24" x14ac:dyDescent="0.25">
      <c r="A30" s="274"/>
      <c r="B30" s="234" t="s">
        <v>73</v>
      </c>
      <c r="C30" s="234">
        <v>15</v>
      </c>
      <c r="D30" s="279">
        <v>15</v>
      </c>
      <c r="E30" s="274" t="s">
        <v>434</v>
      </c>
      <c r="H30" s="238"/>
      <c r="I30" s="286"/>
      <c r="J30" s="286"/>
      <c r="L30" s="274"/>
      <c r="M30" s="274"/>
      <c r="N30" s="285"/>
      <c r="O30" s="308"/>
      <c r="Q30" s="274" t="s">
        <v>25</v>
      </c>
      <c r="R30" s="274"/>
      <c r="S30" s="294">
        <f>Rente</f>
        <v>5.5E-2</v>
      </c>
      <c r="T30" s="308"/>
      <c r="U30" s="66"/>
    </row>
    <row r="31" spans="1:24" x14ac:dyDescent="0.25">
      <c r="A31" s="274"/>
      <c r="B31" s="234" t="s">
        <v>74</v>
      </c>
      <c r="C31" s="234">
        <v>25</v>
      </c>
      <c r="D31" s="279">
        <v>25</v>
      </c>
      <c r="E31" s="274" t="s">
        <v>434</v>
      </c>
      <c r="G31" s="288" t="s">
        <v>130</v>
      </c>
      <c r="H31" s="286"/>
      <c r="I31" s="286"/>
      <c r="J31" s="286"/>
      <c r="L31" s="276" t="s">
        <v>72</v>
      </c>
      <c r="M31" s="274"/>
      <c r="N31" s="285"/>
      <c r="O31" s="308"/>
      <c r="Q31" s="274" t="s">
        <v>392</v>
      </c>
      <c r="R31" s="274"/>
      <c r="S31" s="305">
        <v>10</v>
      </c>
      <c r="T31" s="308" t="s">
        <v>364</v>
      </c>
    </row>
    <row r="32" spans="1:24" x14ac:dyDescent="0.25">
      <c r="A32" s="274"/>
      <c r="B32" s="274" t="s">
        <v>75</v>
      </c>
      <c r="C32" s="287">
        <v>51.5</v>
      </c>
      <c r="D32" s="282">
        <v>51.5</v>
      </c>
      <c r="E32" s="274" t="s">
        <v>434</v>
      </c>
      <c r="G32" s="286" t="s">
        <v>131</v>
      </c>
      <c r="H32" s="286">
        <v>0.11</v>
      </c>
      <c r="I32" s="286"/>
      <c r="J32" s="286"/>
      <c r="L32" s="274" t="s">
        <v>472</v>
      </c>
      <c r="M32" s="274">
        <v>-6</v>
      </c>
      <c r="N32" s="285"/>
      <c r="O32" s="308" t="s">
        <v>471</v>
      </c>
    </row>
    <row r="33" spans="2:18" x14ac:dyDescent="0.25">
      <c r="G33" s="288" t="s">
        <v>236</v>
      </c>
      <c r="H33" s="286"/>
      <c r="I33" s="286"/>
      <c r="J33" s="286"/>
    </row>
    <row r="34" spans="2:18" x14ac:dyDescent="0.25">
      <c r="B34" s="274"/>
      <c r="C34" s="274"/>
      <c r="D34" s="279"/>
      <c r="G34" s="286" t="s">
        <v>177</v>
      </c>
      <c r="H34" s="286">
        <v>-12</v>
      </c>
      <c r="I34" s="286"/>
      <c r="J34" s="286"/>
      <c r="R34" s="236"/>
    </row>
    <row r="35" spans="2:18" x14ac:dyDescent="0.25">
      <c r="B35" s="284" t="s">
        <v>238</v>
      </c>
      <c r="C35" s="285"/>
      <c r="D35" s="285"/>
      <c r="E35" s="286"/>
      <c r="G35" s="286" t="s">
        <v>104</v>
      </c>
      <c r="H35" s="286">
        <v>0.1</v>
      </c>
      <c r="I35" s="286"/>
      <c r="J35" s="286"/>
      <c r="R35" s="236"/>
    </row>
    <row r="36" spans="2:18" x14ac:dyDescent="0.25">
      <c r="B36" s="285" t="s">
        <v>6</v>
      </c>
      <c r="C36" s="285">
        <v>-920</v>
      </c>
      <c r="D36" s="285">
        <v>-920</v>
      </c>
      <c r="E36" s="285" t="s">
        <v>347</v>
      </c>
      <c r="G36" s="286"/>
      <c r="H36" s="286"/>
      <c r="I36" s="286"/>
      <c r="J36" s="286"/>
      <c r="L36" s="283" t="s">
        <v>9</v>
      </c>
      <c r="M36" s="283">
        <v>-1980</v>
      </c>
      <c r="O36" s="315"/>
    </row>
    <row r="37" spans="2:18" x14ac:dyDescent="0.25">
      <c r="B37" s="285" t="s">
        <v>223</v>
      </c>
      <c r="C37" s="285">
        <v>25</v>
      </c>
      <c r="D37" s="285">
        <v>25</v>
      </c>
      <c r="E37" s="285" t="s">
        <v>351</v>
      </c>
      <c r="G37" s="288" t="s">
        <v>3</v>
      </c>
      <c r="H37" s="286">
        <v>-675</v>
      </c>
      <c r="I37" s="286"/>
      <c r="J37" s="286"/>
      <c r="L37" s="283" t="s">
        <v>49</v>
      </c>
      <c r="M37" s="283">
        <v>1.1000000000000001</v>
      </c>
      <c r="O37" s="315"/>
    </row>
    <row r="38" spans="2:18" x14ac:dyDescent="0.25">
      <c r="B38" s="285" t="s">
        <v>7</v>
      </c>
      <c r="C38" s="285">
        <v>-775</v>
      </c>
      <c r="D38" s="285">
        <v>-775</v>
      </c>
      <c r="E38" s="285" t="s">
        <v>347</v>
      </c>
      <c r="G38" s="286" t="s">
        <v>76</v>
      </c>
      <c r="H38" s="286">
        <v>0.56000000000000005</v>
      </c>
      <c r="I38" s="286"/>
      <c r="J38" s="286"/>
      <c r="L38" s="283" t="s">
        <v>168</v>
      </c>
      <c r="M38" s="283">
        <v>0.7</v>
      </c>
      <c r="O38" s="315"/>
    </row>
    <row r="39" spans="2:18" x14ac:dyDescent="0.25">
      <c r="B39" s="285" t="s">
        <v>223</v>
      </c>
      <c r="C39" s="285">
        <v>35</v>
      </c>
      <c r="D39" s="285">
        <v>35</v>
      </c>
      <c r="E39" s="285" t="s">
        <v>351</v>
      </c>
      <c r="G39" s="286" t="s">
        <v>99</v>
      </c>
      <c r="H39" s="286">
        <v>1.65</v>
      </c>
      <c r="I39" s="286"/>
      <c r="J39" s="286"/>
      <c r="L39" s="283" t="s">
        <v>169</v>
      </c>
      <c r="M39" s="283">
        <v>1.2</v>
      </c>
      <c r="O39" s="315"/>
    </row>
    <row r="40" spans="2:18" x14ac:dyDescent="0.25">
      <c r="B40" s="285" t="s">
        <v>430</v>
      </c>
      <c r="C40" s="285">
        <v>-500</v>
      </c>
      <c r="D40" s="285">
        <v>-500</v>
      </c>
      <c r="E40" s="285" t="s">
        <v>347</v>
      </c>
      <c r="G40" s="286" t="s">
        <v>98</v>
      </c>
      <c r="H40" s="286">
        <v>0.59</v>
      </c>
      <c r="I40" s="286"/>
      <c r="J40" s="286"/>
      <c r="L40" s="283" t="s">
        <v>203</v>
      </c>
      <c r="M40" s="283">
        <v>-1120</v>
      </c>
      <c r="O40" s="315"/>
    </row>
    <row r="41" spans="2:18" x14ac:dyDescent="0.25">
      <c r="G41" s="286" t="s">
        <v>107</v>
      </c>
      <c r="H41" s="286">
        <v>0.15</v>
      </c>
      <c r="L41" s="283" t="s">
        <v>198</v>
      </c>
      <c r="M41" s="283">
        <v>70</v>
      </c>
      <c r="O41" s="315"/>
    </row>
    <row r="42" spans="2:18" x14ac:dyDescent="0.25">
      <c r="L42" s="283" t="s">
        <v>199</v>
      </c>
      <c r="M42" s="283">
        <v>50</v>
      </c>
      <c r="O42" s="315"/>
    </row>
    <row r="43" spans="2:18" x14ac:dyDescent="0.25">
      <c r="L43" s="283" t="s">
        <v>204</v>
      </c>
      <c r="M43" s="283">
        <v>-1120</v>
      </c>
      <c r="O43" s="315"/>
    </row>
    <row r="44" spans="2:18" x14ac:dyDescent="0.25">
      <c r="L44" s="283" t="s">
        <v>198</v>
      </c>
      <c r="M44" s="283">
        <v>50</v>
      </c>
      <c r="O44" s="315"/>
    </row>
    <row r="45" spans="2:18" x14ac:dyDescent="0.25">
      <c r="L45" s="283" t="s">
        <v>199</v>
      </c>
      <c r="M45" s="283">
        <v>40</v>
      </c>
      <c r="O45" s="315"/>
    </row>
  </sheetData>
  <mergeCells count="8">
    <mergeCell ref="Z7:Z9"/>
    <mergeCell ref="AA7:AA9"/>
    <mergeCell ref="AD7:AD9"/>
    <mergeCell ref="AF7:AF9"/>
    <mergeCell ref="Z10:Z12"/>
    <mergeCell ref="AA10:AA12"/>
    <mergeCell ref="AD10:AD12"/>
    <mergeCell ref="AF10:AF1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8"/>
  <sheetViews>
    <sheetView topLeftCell="A43" workbookViewId="0">
      <selection activeCell="I49" sqref="I49"/>
    </sheetView>
  </sheetViews>
  <sheetFormatPr defaultRowHeight="15" x14ac:dyDescent="0.25"/>
  <cols>
    <col min="1" max="1" width="13.140625" customWidth="1"/>
    <col min="5" max="5" width="11" bestFit="1" customWidth="1"/>
    <col min="6" max="6" width="12.5703125" bestFit="1" customWidth="1"/>
    <col min="8" max="8" width="15.28515625" bestFit="1" customWidth="1"/>
    <col min="9" max="9" width="13.7109375" bestFit="1" customWidth="1"/>
  </cols>
  <sheetData>
    <row r="1" spans="1:6" ht="30" customHeight="1" x14ac:dyDescent="0.3">
      <c r="A1" s="30" t="s">
        <v>609</v>
      </c>
    </row>
    <row r="2" spans="1:6" ht="18.75" x14ac:dyDescent="0.3">
      <c r="A2" s="30" t="s">
        <v>527</v>
      </c>
    </row>
    <row r="3" spans="1:6" x14ac:dyDescent="0.25">
      <c r="A3" t="s">
        <v>581</v>
      </c>
      <c r="B3">
        <v>3000</v>
      </c>
      <c r="C3" t="s">
        <v>186</v>
      </c>
    </row>
    <row r="4" spans="1:6" x14ac:dyDescent="0.25">
      <c r="A4" t="s">
        <v>608</v>
      </c>
    </row>
    <row r="5" spans="1:6" x14ac:dyDescent="0.25">
      <c r="A5" t="s">
        <v>607</v>
      </c>
      <c r="C5">
        <v>90</v>
      </c>
      <c r="D5">
        <v>100</v>
      </c>
      <c r="E5" t="s">
        <v>524</v>
      </c>
      <c r="F5" s="386">
        <v>300000</v>
      </c>
    </row>
    <row r="6" spans="1:6" x14ac:dyDescent="0.25">
      <c r="A6" t="s">
        <v>606</v>
      </c>
      <c r="F6" s="386">
        <v>200000</v>
      </c>
    </row>
    <row r="7" spans="1:6" x14ac:dyDescent="0.25">
      <c r="A7" t="s">
        <v>605</v>
      </c>
      <c r="F7" s="386"/>
    </row>
    <row r="8" spans="1:6" x14ac:dyDescent="0.25">
      <c r="A8" t="s">
        <v>604</v>
      </c>
      <c r="F8" s="386">
        <v>70000</v>
      </c>
    </row>
    <row r="9" spans="1:6" x14ac:dyDescent="0.25">
      <c r="A9" t="s">
        <v>603</v>
      </c>
      <c r="F9" s="387">
        <v>75000</v>
      </c>
    </row>
    <row r="10" spans="1:6" x14ac:dyDescent="0.25">
      <c r="A10" t="s">
        <v>602</v>
      </c>
      <c r="F10" s="386">
        <f>SUM(F5:F9)</f>
        <v>645000</v>
      </c>
    </row>
    <row r="11" spans="1:6" x14ac:dyDescent="0.25">
      <c r="A11" t="s">
        <v>601</v>
      </c>
      <c r="F11" s="386">
        <v>700000</v>
      </c>
    </row>
    <row r="12" spans="1:6" x14ac:dyDescent="0.25">
      <c r="A12" t="s">
        <v>600</v>
      </c>
      <c r="F12" s="393">
        <f>F11/B3</f>
        <v>233.33333333333334</v>
      </c>
    </row>
    <row r="15" spans="1:6" x14ac:dyDescent="0.25">
      <c r="A15" t="s">
        <v>599</v>
      </c>
      <c r="C15">
        <v>1.2</v>
      </c>
      <c r="D15" t="s">
        <v>568</v>
      </c>
    </row>
    <row r="16" spans="1:6" x14ac:dyDescent="0.25">
      <c r="A16" t="s">
        <v>598</v>
      </c>
      <c r="C16">
        <v>20</v>
      </c>
    </row>
    <row r="17" spans="1:10" x14ac:dyDescent="0.25">
      <c r="A17" t="s">
        <v>566</v>
      </c>
      <c r="C17">
        <f>C15*C16/100*B3</f>
        <v>720</v>
      </c>
      <c r="D17" t="s">
        <v>565</v>
      </c>
    </row>
    <row r="18" spans="1:10" x14ac:dyDescent="0.25">
      <c r="A18" t="s">
        <v>564</v>
      </c>
      <c r="C18" t="s">
        <v>597</v>
      </c>
      <c r="F18" s="34">
        <f>F11/(C17*1000)</f>
        <v>0.97222222222222221</v>
      </c>
      <c r="G18" t="s">
        <v>562</v>
      </c>
      <c r="I18" s="34">
        <f>F11/(B3*C15)</f>
        <v>194.44444444444446</v>
      </c>
      <c r="J18" t="s">
        <v>561</v>
      </c>
    </row>
    <row r="19" spans="1:10" x14ac:dyDescent="0.25">
      <c r="A19" t="str">
        <f>CONCATENATE("Ydelse ved lån på  ",F11,"   kr: over en ",Løbetid," års periode med ",Renter*100," % i renter")</f>
        <v>Ydelse ved lån på  700000   kr: over en 10 års periode med 5,5 % i renter</v>
      </c>
      <c r="G19" s="384">
        <f>(PMT(A21,A20,F11))/(C17*1000)</f>
        <v>-0.12898255290608143</v>
      </c>
      <c r="H19" t="s">
        <v>562</v>
      </c>
      <c r="I19" s="384">
        <f>PMT(A21,A20,F11)/(B3*C15)</f>
        <v>-25.796510581216289</v>
      </c>
      <c r="J19" t="s">
        <v>561</v>
      </c>
    </row>
    <row r="20" spans="1:10" x14ac:dyDescent="0.25">
      <c r="A20">
        <f>Løbetid</f>
        <v>10</v>
      </c>
      <c r="B20" t="s">
        <v>364</v>
      </c>
    </row>
    <row r="21" spans="1:10" x14ac:dyDescent="0.25">
      <c r="A21">
        <f>Renter</f>
        <v>5.5E-2</v>
      </c>
      <c r="B21" t="s">
        <v>560</v>
      </c>
    </row>
    <row r="22" spans="1:10" x14ac:dyDescent="0.25">
      <c r="A22" s="389"/>
      <c r="B22" s="389"/>
      <c r="C22" s="389"/>
      <c r="D22" s="389"/>
      <c r="E22" s="389"/>
      <c r="F22" s="389"/>
      <c r="G22" s="389"/>
      <c r="H22" s="389"/>
      <c r="I22" s="389"/>
      <c r="J22" s="389"/>
    </row>
    <row r="24" spans="1:10" ht="18.75" x14ac:dyDescent="0.3">
      <c r="A24" s="30" t="s">
        <v>596</v>
      </c>
    </row>
    <row r="25" spans="1:10" ht="18.75" x14ac:dyDescent="0.3">
      <c r="A25" s="30" t="s">
        <v>595</v>
      </c>
    </row>
    <row r="26" spans="1:10" x14ac:dyDescent="0.25">
      <c r="A26" t="s">
        <v>581</v>
      </c>
      <c r="B26" t="s">
        <v>415</v>
      </c>
      <c r="C26">
        <v>7</v>
      </c>
      <c r="D26" t="s">
        <v>579</v>
      </c>
    </row>
    <row r="27" spans="1:10" x14ac:dyDescent="0.25">
      <c r="B27" t="s">
        <v>414</v>
      </c>
      <c r="C27">
        <v>80</v>
      </c>
      <c r="D27" t="s">
        <v>579</v>
      </c>
    </row>
    <row r="28" spans="1:10" x14ac:dyDescent="0.25">
      <c r="B28" t="s">
        <v>580</v>
      </c>
      <c r="C28">
        <v>30</v>
      </c>
      <c r="D28" t="s">
        <v>579</v>
      </c>
    </row>
    <row r="29" spans="1:10" x14ac:dyDescent="0.25">
      <c r="A29" t="s">
        <v>578</v>
      </c>
      <c r="C29">
        <f>C26*C27*C28</f>
        <v>16800</v>
      </c>
    </row>
    <row r="30" spans="1:10" x14ac:dyDescent="0.25">
      <c r="A30" t="s">
        <v>594</v>
      </c>
      <c r="B30">
        <v>10</v>
      </c>
      <c r="C30">
        <f>C29-(C29*B30/100)</f>
        <v>15120</v>
      </c>
    </row>
    <row r="32" spans="1:10" x14ac:dyDescent="0.25">
      <c r="A32" t="s">
        <v>593</v>
      </c>
      <c r="B32">
        <v>120000</v>
      </c>
      <c r="C32" t="s">
        <v>592</v>
      </c>
      <c r="D32" s="392">
        <f>B32*7.45</f>
        <v>894000</v>
      </c>
      <c r="E32" s="392">
        <v>900000</v>
      </c>
    </row>
    <row r="33" spans="1:10" x14ac:dyDescent="0.25">
      <c r="A33" t="s">
        <v>632</v>
      </c>
      <c r="B33">
        <v>65856</v>
      </c>
      <c r="C33" t="s">
        <v>592</v>
      </c>
      <c r="D33" s="392">
        <f>B33*7.45</f>
        <v>490627.2</v>
      </c>
      <c r="E33" s="392"/>
      <c r="F33" s="392">
        <f>E32+D33</f>
        <v>1390627.2</v>
      </c>
    </row>
    <row r="35" spans="1:10" x14ac:dyDescent="0.25">
      <c r="A35" t="s">
        <v>591</v>
      </c>
      <c r="C35">
        <v>0.7</v>
      </c>
      <c r="D35" t="s">
        <v>568</v>
      </c>
    </row>
    <row r="36" spans="1:10" x14ac:dyDescent="0.25">
      <c r="A36" t="s">
        <v>584</v>
      </c>
      <c r="C36">
        <v>20</v>
      </c>
    </row>
    <row r="37" spans="1:10" x14ac:dyDescent="0.25">
      <c r="A37" t="s">
        <v>566</v>
      </c>
      <c r="C37">
        <f>C35*C36/100*C30</f>
        <v>2116.8000000000002</v>
      </c>
      <c r="D37" t="s">
        <v>565</v>
      </c>
    </row>
    <row r="38" spans="1:10" x14ac:dyDescent="0.25">
      <c r="A38" t="s">
        <v>564</v>
      </c>
      <c r="C38" t="s">
        <v>633</v>
      </c>
      <c r="F38" s="391">
        <f>F33/(C37*1000)</f>
        <v>0.65694784580498866</v>
      </c>
      <c r="G38" t="s">
        <v>562</v>
      </c>
    </row>
    <row r="39" spans="1:10" x14ac:dyDescent="0.25">
      <c r="A39" t="str">
        <f>CONCATENATE("Ydelse ved lån på  ",E32,"  kr. over en ",Løbetid," års periode med ",Renter*100," % i renter")</f>
        <v>Ydelse ved lån på  900000  kr. over en 10 års periode med 5,5 % i renter</v>
      </c>
      <c r="G39" s="384">
        <f>(PMT(A41,A40,F33))/(C37*1000)</f>
        <v>-8.7155804857451835E-2</v>
      </c>
      <c r="H39" t="s">
        <v>562</v>
      </c>
      <c r="I39" s="384">
        <f>PMT(A41,A40,F33)/(C29*C35)</f>
        <v>-15.688044874341331</v>
      </c>
      <c r="J39" t="s">
        <v>561</v>
      </c>
    </row>
    <row r="40" spans="1:10" x14ac:dyDescent="0.25">
      <c r="A40">
        <f>Løbetid</f>
        <v>10</v>
      </c>
      <c r="B40" t="s">
        <v>364</v>
      </c>
    </row>
    <row r="41" spans="1:10" x14ac:dyDescent="0.25">
      <c r="A41">
        <f>Renter</f>
        <v>5.5E-2</v>
      </c>
      <c r="B41" t="s">
        <v>560</v>
      </c>
    </row>
    <row r="42" spans="1:10" x14ac:dyDescent="0.25">
      <c r="A42" s="389"/>
      <c r="B42" s="389"/>
      <c r="C42" s="389"/>
      <c r="D42" s="389"/>
      <c r="E42" s="389"/>
      <c r="F42" s="389"/>
      <c r="G42" s="389"/>
      <c r="H42" s="389"/>
      <c r="I42" s="389"/>
      <c r="J42" s="389"/>
    </row>
    <row r="44" spans="1:10" ht="18.75" x14ac:dyDescent="0.3">
      <c r="A44" s="30" t="s">
        <v>590</v>
      </c>
    </row>
    <row r="45" spans="1:10" ht="18.75" x14ac:dyDescent="0.3">
      <c r="A45" s="30"/>
      <c r="E45" t="s">
        <v>61</v>
      </c>
    </row>
    <row r="46" spans="1:10" x14ac:dyDescent="0.25">
      <c r="A46" t="s">
        <v>581</v>
      </c>
      <c r="B46" t="s">
        <v>415</v>
      </c>
      <c r="C46">
        <v>3</v>
      </c>
      <c r="D46" t="s">
        <v>579</v>
      </c>
      <c r="E46">
        <v>2.8</v>
      </c>
    </row>
    <row r="47" spans="1:10" x14ac:dyDescent="0.25">
      <c r="B47" t="s">
        <v>414</v>
      </c>
      <c r="C47">
        <v>50</v>
      </c>
      <c r="D47" t="s">
        <v>579</v>
      </c>
      <c r="E47">
        <v>45</v>
      </c>
    </row>
    <row r="48" spans="1:10" x14ac:dyDescent="0.25">
      <c r="B48" t="s">
        <v>580</v>
      </c>
      <c r="C48" s="388">
        <v>16</v>
      </c>
      <c r="D48" s="388" t="s">
        <v>579</v>
      </c>
      <c r="E48" s="388">
        <v>15</v>
      </c>
    </row>
    <row r="49" spans="1:11" x14ac:dyDescent="0.25">
      <c r="A49" t="s">
        <v>578</v>
      </c>
      <c r="C49">
        <f>C46*C47*C48</f>
        <v>2400</v>
      </c>
      <c r="E49">
        <f>E46*E47*E48</f>
        <v>1889.9999999999998</v>
      </c>
      <c r="G49" t="s">
        <v>644</v>
      </c>
      <c r="H49" s="393">
        <f>E49*C64</f>
        <v>1300.3199999999997</v>
      </c>
    </row>
    <row r="51" spans="1:11" x14ac:dyDescent="0.25">
      <c r="A51" t="s">
        <v>577</v>
      </c>
    </row>
    <row r="52" spans="1:11" x14ac:dyDescent="0.25">
      <c r="A52" t="s">
        <v>576</v>
      </c>
      <c r="B52" t="s">
        <v>575</v>
      </c>
      <c r="C52">
        <v>2300</v>
      </c>
      <c r="D52" t="s">
        <v>498</v>
      </c>
    </row>
    <row r="53" spans="1:11" x14ac:dyDescent="0.25">
      <c r="A53" t="s">
        <v>413</v>
      </c>
      <c r="B53" t="s">
        <v>574</v>
      </c>
      <c r="C53">
        <v>500</v>
      </c>
      <c r="D53" t="s">
        <v>498</v>
      </c>
    </row>
    <row r="55" spans="1:11" x14ac:dyDescent="0.25">
      <c r="A55" t="s">
        <v>310</v>
      </c>
    </row>
    <row r="56" spans="1:11" x14ac:dyDescent="0.25">
      <c r="A56" t="s">
        <v>413</v>
      </c>
      <c r="E56" s="386">
        <f>C53*C47*C48</f>
        <v>400000</v>
      </c>
    </row>
    <row r="57" spans="1:11" x14ac:dyDescent="0.25">
      <c r="A57" t="s">
        <v>573</v>
      </c>
      <c r="E57" s="387">
        <f>(46+C47+C48)*C52</f>
        <v>257600</v>
      </c>
    </row>
    <row r="58" spans="1:11" x14ac:dyDescent="0.25">
      <c r="A58" t="s">
        <v>572</v>
      </c>
      <c r="E58" s="386">
        <f>E56+E57</f>
        <v>657600</v>
      </c>
    </row>
    <row r="59" spans="1:11" x14ac:dyDescent="0.25">
      <c r="A59" t="s">
        <v>571</v>
      </c>
      <c r="C59">
        <v>10</v>
      </c>
      <c r="E59" s="386">
        <f>E58+(E58*C59/100)</f>
        <v>723360</v>
      </c>
    </row>
    <row r="60" spans="1:11" x14ac:dyDescent="0.25">
      <c r="A60" t="s">
        <v>632</v>
      </c>
      <c r="B60">
        <v>65856</v>
      </c>
      <c r="C60" t="s">
        <v>592</v>
      </c>
      <c r="E60" s="392">
        <f>B60*7.45</f>
        <v>490627.2</v>
      </c>
      <c r="G60" t="s">
        <v>642</v>
      </c>
      <c r="H60" s="57">
        <f>E58</f>
        <v>657600</v>
      </c>
    </row>
    <row r="61" spans="1:11" x14ac:dyDescent="0.25">
      <c r="E61" s="392">
        <f>E59+E60</f>
        <v>1213987.2</v>
      </c>
      <c r="H61" s="393">
        <f>18921*7.45</f>
        <v>140961.45000000001</v>
      </c>
    </row>
    <row r="62" spans="1:11" x14ac:dyDescent="0.25">
      <c r="A62" t="s">
        <v>589</v>
      </c>
      <c r="E62" s="390">
        <f>E61/E49</f>
        <v>642.3212698412699</v>
      </c>
      <c r="H62" s="57">
        <f>H60+H61</f>
        <v>798561.45</v>
      </c>
      <c r="I62" s="400">
        <f>PMT(A70,A69,H62)/(E49*C64)</f>
        <v>-81.474841380621825</v>
      </c>
      <c r="J62" t="s">
        <v>229</v>
      </c>
    </row>
    <row r="64" spans="1:11" x14ac:dyDescent="0.25">
      <c r="A64" t="s">
        <v>643</v>
      </c>
      <c r="C64" s="45">
        <v>0.68799999999999994</v>
      </c>
      <c r="D64" t="s">
        <v>568</v>
      </c>
      <c r="K64" s="45"/>
    </row>
    <row r="65" spans="1:10" x14ac:dyDescent="0.25">
      <c r="A65" t="s">
        <v>588</v>
      </c>
      <c r="C65">
        <v>30</v>
      </c>
    </row>
    <row r="66" spans="1:10" x14ac:dyDescent="0.25">
      <c r="A66" t="s">
        <v>566</v>
      </c>
      <c r="C66">
        <f>C64*C65/100*E49</f>
        <v>390.09599999999989</v>
      </c>
      <c r="D66" t="s">
        <v>565</v>
      </c>
    </row>
    <row r="67" spans="1:10" x14ac:dyDescent="0.25">
      <c r="A67" t="s">
        <v>564</v>
      </c>
      <c r="C67" t="s">
        <v>636</v>
      </c>
      <c r="F67" s="34">
        <f>E61/(C66*1000)</f>
        <v>3.1120216562077037</v>
      </c>
      <c r="G67" t="s">
        <v>562</v>
      </c>
      <c r="I67" s="34">
        <f>E62/C64</f>
        <v>933.60649686231102</v>
      </c>
      <c r="J67" t="s">
        <v>561</v>
      </c>
    </row>
    <row r="68" spans="1:10" x14ac:dyDescent="0.25">
      <c r="A68" t="str">
        <f>CONCATENATE("Ydelse ved lån på  ", E59," kr. over en ",Løbetid," års periode med ",Renter*100," % i renter")</f>
        <v>Ydelse ved lån på  723360 kr. over en 10 års periode med 5,5 % i renter</v>
      </c>
      <c r="G68" s="384">
        <f>(PMT(A70,A69,E61))/(C66*1000)</f>
        <v>-0.41286496928572936</v>
      </c>
      <c r="H68" t="s">
        <v>562</v>
      </c>
      <c r="I68" s="384">
        <f>PMT(A70,A69,E61)/(E49*C64)</f>
        <v>-123.8594907857188</v>
      </c>
      <c r="J68" t="s">
        <v>561</v>
      </c>
    </row>
    <row r="69" spans="1:10" x14ac:dyDescent="0.25">
      <c r="A69">
        <f>Løbetid</f>
        <v>10</v>
      </c>
      <c r="B69" t="s">
        <v>364</v>
      </c>
    </row>
    <row r="70" spans="1:10" x14ac:dyDescent="0.25">
      <c r="A70" s="66">
        <f>Renter</f>
        <v>5.5E-2</v>
      </c>
      <c r="B70" t="s">
        <v>560</v>
      </c>
    </row>
    <row r="71" spans="1:10" x14ac:dyDescent="0.25">
      <c r="A71" s="389"/>
      <c r="B71" s="389"/>
      <c r="C71" s="389"/>
      <c r="D71" s="389"/>
      <c r="E71" s="389"/>
      <c r="F71" s="389"/>
      <c r="G71" s="389"/>
      <c r="H71" s="389"/>
      <c r="I71" s="389"/>
      <c r="J71" s="389"/>
    </row>
    <row r="74" spans="1:10" ht="18.75" x14ac:dyDescent="0.3">
      <c r="A74" s="30" t="s">
        <v>587</v>
      </c>
    </row>
    <row r="75" spans="1:10" ht="18.75" x14ac:dyDescent="0.3">
      <c r="A75" s="30"/>
      <c r="E75" t="s">
        <v>586</v>
      </c>
    </row>
    <row r="76" spans="1:10" x14ac:dyDescent="0.25">
      <c r="A76" t="s">
        <v>581</v>
      </c>
      <c r="B76" t="s">
        <v>415</v>
      </c>
      <c r="C76">
        <v>3</v>
      </c>
      <c r="D76" t="s">
        <v>579</v>
      </c>
      <c r="E76">
        <v>5.6</v>
      </c>
    </row>
    <row r="77" spans="1:10" x14ac:dyDescent="0.25">
      <c r="B77" t="s">
        <v>414</v>
      </c>
      <c r="C77">
        <v>50</v>
      </c>
      <c r="D77" t="s">
        <v>579</v>
      </c>
      <c r="E77">
        <v>45</v>
      </c>
    </row>
    <row r="78" spans="1:10" x14ac:dyDescent="0.25">
      <c r="B78" t="s">
        <v>580</v>
      </c>
      <c r="C78" s="388">
        <v>16</v>
      </c>
      <c r="D78" s="388" t="s">
        <v>579</v>
      </c>
      <c r="E78" s="388">
        <v>15</v>
      </c>
    </row>
    <row r="79" spans="1:10" x14ac:dyDescent="0.25">
      <c r="A79" t="s">
        <v>578</v>
      </c>
      <c r="C79">
        <f>C76*C77*C78</f>
        <v>2400</v>
      </c>
      <c r="E79">
        <f>(12+16)/2*E76*E77</f>
        <v>3527.9999999999995</v>
      </c>
    </row>
    <row r="81" spans="1:5" x14ac:dyDescent="0.25">
      <c r="A81" t="s">
        <v>577</v>
      </c>
    </row>
    <row r="82" spans="1:5" x14ac:dyDescent="0.25">
      <c r="A82" t="s">
        <v>576</v>
      </c>
      <c r="B82" t="s">
        <v>575</v>
      </c>
      <c r="C82">
        <v>2300</v>
      </c>
      <c r="D82" t="s">
        <v>498</v>
      </c>
    </row>
    <row r="83" spans="1:5" x14ac:dyDescent="0.25">
      <c r="A83" t="s">
        <v>413</v>
      </c>
      <c r="B83" t="s">
        <v>574</v>
      </c>
      <c r="C83">
        <v>500</v>
      </c>
      <c r="D83" t="s">
        <v>498</v>
      </c>
    </row>
    <row r="85" spans="1:5" x14ac:dyDescent="0.25">
      <c r="A85" t="s">
        <v>310</v>
      </c>
    </row>
    <row r="86" spans="1:5" x14ac:dyDescent="0.25">
      <c r="A86" t="s">
        <v>413</v>
      </c>
      <c r="E86" s="386">
        <f>C83*C77*C78</f>
        <v>400000</v>
      </c>
    </row>
    <row r="87" spans="1:5" x14ac:dyDescent="0.25">
      <c r="A87" t="s">
        <v>573</v>
      </c>
      <c r="E87" s="387">
        <f>(46+C77+C78)*C82</f>
        <v>257600</v>
      </c>
    </row>
    <row r="88" spans="1:5" x14ac:dyDescent="0.25">
      <c r="A88" t="s">
        <v>572</v>
      </c>
      <c r="E88" s="386">
        <f>E86+E87</f>
        <v>657600</v>
      </c>
    </row>
    <row r="89" spans="1:5" x14ac:dyDescent="0.25">
      <c r="A89" t="s">
        <v>571</v>
      </c>
      <c r="C89">
        <v>10</v>
      </c>
      <c r="E89" s="386">
        <f>E88+(E88*C89/100)</f>
        <v>723360</v>
      </c>
    </row>
    <row r="90" spans="1:5" x14ac:dyDescent="0.25">
      <c r="A90" t="s">
        <v>632</v>
      </c>
      <c r="B90">
        <v>65856</v>
      </c>
      <c r="C90" t="s">
        <v>592</v>
      </c>
      <c r="E90" s="392">
        <f>B90*7.45</f>
        <v>490627.2</v>
      </c>
    </row>
    <row r="91" spans="1:5" x14ac:dyDescent="0.25">
      <c r="A91" t="s">
        <v>634</v>
      </c>
      <c r="E91" s="392">
        <f>E89+E90</f>
        <v>1213987.2</v>
      </c>
    </row>
    <row r="92" spans="1:5" x14ac:dyDescent="0.25">
      <c r="A92" t="s">
        <v>570</v>
      </c>
      <c r="E92" s="390">
        <f>E91/E79</f>
        <v>344.10068027210889</v>
      </c>
    </row>
    <row r="93" spans="1:5" x14ac:dyDescent="0.25">
      <c r="D93" s="392"/>
    </row>
    <row r="94" spans="1:5" x14ac:dyDescent="0.25">
      <c r="A94" t="s">
        <v>585</v>
      </c>
      <c r="C94">
        <f>Roedensitet</f>
        <v>0.7</v>
      </c>
      <c r="D94" t="s">
        <v>568</v>
      </c>
    </row>
    <row r="95" spans="1:5" x14ac:dyDescent="0.25">
      <c r="A95" t="s">
        <v>584</v>
      </c>
      <c r="C95" s="393">
        <f>RoeTS*100</f>
        <v>23.1</v>
      </c>
    </row>
    <row r="96" spans="1:5" x14ac:dyDescent="0.25">
      <c r="A96" t="s">
        <v>566</v>
      </c>
      <c r="C96" s="393">
        <f>C94*C95/100*E79</f>
        <v>570.47759999999994</v>
      </c>
      <c r="D96" t="s">
        <v>565</v>
      </c>
    </row>
    <row r="97" spans="1:10" x14ac:dyDescent="0.25">
      <c r="A97" t="s">
        <v>564</v>
      </c>
      <c r="C97" t="s">
        <v>635</v>
      </c>
      <c r="F97" s="34">
        <f>E91/(C96*1000)</f>
        <v>2.128019049301848</v>
      </c>
      <c r="G97" t="s">
        <v>562</v>
      </c>
      <c r="I97" s="34">
        <f>E91/(E79*C94)</f>
        <v>491.57240038872703</v>
      </c>
      <c r="J97" t="s">
        <v>583</v>
      </c>
    </row>
    <row r="98" spans="1:10" x14ac:dyDescent="0.25">
      <c r="A98" t="str">
        <f>CONCATENATE("Ydelse ved lån på   ",E89,"  kr. over en ",Løbetid," års periode med ",Renter*100," % i renter")</f>
        <v>Ydelse ved lån på   723360  kr. over en 10 års periode med 5,5 % i renter</v>
      </c>
      <c r="G98" s="384">
        <f>(PMT(A100,A99,E91))/(C96*1000)</f>
        <v>-0.28231953902920259</v>
      </c>
      <c r="H98" t="s">
        <v>562</v>
      </c>
      <c r="I98" s="384">
        <f>PMT(A100,A99,E91)/(E79*C94)</f>
        <v>-65.215813515745822</v>
      </c>
      <c r="J98" t="s">
        <v>583</v>
      </c>
    </row>
    <row r="99" spans="1:10" x14ac:dyDescent="0.25">
      <c r="A99">
        <f>Løbetid</f>
        <v>10</v>
      </c>
      <c r="B99" t="s">
        <v>364</v>
      </c>
    </row>
    <row r="100" spans="1:10" x14ac:dyDescent="0.25">
      <c r="A100" s="66">
        <f>Renter</f>
        <v>5.5E-2</v>
      </c>
      <c r="B100" t="s">
        <v>560</v>
      </c>
    </row>
    <row r="101" spans="1:10" x14ac:dyDescent="0.25">
      <c r="A101" s="389"/>
      <c r="B101" s="389"/>
      <c r="C101" s="389"/>
      <c r="D101" s="389"/>
      <c r="E101" s="389"/>
      <c r="F101" s="389"/>
      <c r="G101" s="389"/>
      <c r="H101" s="389"/>
      <c r="I101" s="389"/>
      <c r="J101" s="389"/>
    </row>
    <row r="103" spans="1:10" ht="18.75" x14ac:dyDescent="0.3">
      <c r="A103" s="30" t="s">
        <v>582</v>
      </c>
    </row>
    <row r="104" spans="1:10" ht="18.75" x14ac:dyDescent="0.3">
      <c r="A104" s="30"/>
      <c r="E104" t="s">
        <v>61</v>
      </c>
    </row>
    <row r="105" spans="1:10" x14ac:dyDescent="0.25">
      <c r="A105" t="s">
        <v>581</v>
      </c>
      <c r="B105" t="s">
        <v>415</v>
      </c>
      <c r="C105">
        <v>3</v>
      </c>
      <c r="D105" t="s">
        <v>579</v>
      </c>
      <c r="E105">
        <v>2.8</v>
      </c>
    </row>
    <row r="106" spans="1:10" x14ac:dyDescent="0.25">
      <c r="B106" t="s">
        <v>414</v>
      </c>
      <c r="C106">
        <v>50</v>
      </c>
      <c r="D106" t="s">
        <v>579</v>
      </c>
      <c r="E106">
        <v>45</v>
      </c>
    </row>
    <row r="107" spans="1:10" x14ac:dyDescent="0.25">
      <c r="B107" t="s">
        <v>580</v>
      </c>
      <c r="C107" s="388">
        <v>16</v>
      </c>
      <c r="D107" s="388" t="s">
        <v>579</v>
      </c>
      <c r="E107" s="388">
        <v>15</v>
      </c>
    </row>
    <row r="108" spans="1:10" x14ac:dyDescent="0.25">
      <c r="A108" t="s">
        <v>578</v>
      </c>
      <c r="C108">
        <f>C105*C106*C107</f>
        <v>2400</v>
      </c>
      <c r="E108">
        <f>E105*E106*E107</f>
        <v>1889.9999999999998</v>
      </c>
    </row>
    <row r="110" spans="1:10" x14ac:dyDescent="0.25">
      <c r="A110" t="s">
        <v>577</v>
      </c>
    </row>
    <row r="111" spans="1:10" x14ac:dyDescent="0.25">
      <c r="A111" t="s">
        <v>576</v>
      </c>
      <c r="B111" t="s">
        <v>575</v>
      </c>
      <c r="C111">
        <v>2300</v>
      </c>
      <c r="D111" t="s">
        <v>498</v>
      </c>
    </row>
    <row r="112" spans="1:10" x14ac:dyDescent="0.25">
      <c r="A112" t="s">
        <v>413</v>
      </c>
      <c r="B112" t="s">
        <v>574</v>
      </c>
      <c r="C112">
        <v>500</v>
      </c>
      <c r="D112" t="s">
        <v>498</v>
      </c>
    </row>
    <row r="114" spans="1:11" x14ac:dyDescent="0.25">
      <c r="A114" t="s">
        <v>310</v>
      </c>
    </row>
    <row r="115" spans="1:11" x14ac:dyDescent="0.25">
      <c r="A115" t="s">
        <v>413</v>
      </c>
      <c r="E115" s="386">
        <f>C112*C106*C107</f>
        <v>400000</v>
      </c>
    </row>
    <row r="116" spans="1:11" x14ac:dyDescent="0.25">
      <c r="A116" t="s">
        <v>573</v>
      </c>
      <c r="E116" s="387">
        <f>(46+C106+C107)*C111</f>
        <v>257600</v>
      </c>
    </row>
    <row r="117" spans="1:11" x14ac:dyDescent="0.25">
      <c r="A117" t="s">
        <v>572</v>
      </c>
      <c r="E117" s="386">
        <f>E115+E116</f>
        <v>657600</v>
      </c>
    </row>
    <row r="118" spans="1:11" x14ac:dyDescent="0.25">
      <c r="A118" t="s">
        <v>571</v>
      </c>
      <c r="C118">
        <v>10</v>
      </c>
      <c r="E118" s="386">
        <f>E117+(E117*C118/100)</f>
        <v>723360</v>
      </c>
      <c r="F118" t="s">
        <v>299</v>
      </c>
    </row>
    <row r="119" spans="1:11" x14ac:dyDescent="0.25">
      <c r="A119" t="s">
        <v>570</v>
      </c>
      <c r="E119" s="385">
        <f>E118/E108</f>
        <v>382.73015873015879</v>
      </c>
    </row>
    <row r="121" spans="1:11" x14ac:dyDescent="0.25">
      <c r="A121" t="s">
        <v>569</v>
      </c>
      <c r="C121">
        <v>0.8</v>
      </c>
      <c r="D121" t="s">
        <v>568</v>
      </c>
    </row>
    <row r="122" spans="1:11" x14ac:dyDescent="0.25">
      <c r="A122" t="s">
        <v>567</v>
      </c>
      <c r="C122">
        <v>20</v>
      </c>
    </row>
    <row r="123" spans="1:11" x14ac:dyDescent="0.25">
      <c r="A123" t="s">
        <v>566</v>
      </c>
      <c r="C123">
        <f>C121*C122/100*E108</f>
        <v>302.39999999999998</v>
      </c>
      <c r="D123" t="s">
        <v>565</v>
      </c>
    </row>
    <row r="124" spans="1:11" x14ac:dyDescent="0.25">
      <c r="A124" t="s">
        <v>564</v>
      </c>
      <c r="C124" t="s">
        <v>563</v>
      </c>
      <c r="F124" s="34">
        <f>E118/(C123*1000)</f>
        <v>2.392063492063492</v>
      </c>
      <c r="G124" t="s">
        <v>562</v>
      </c>
      <c r="I124" s="34">
        <f>E118/(E108*C121)</f>
        <v>478.41269841269843</v>
      </c>
      <c r="J124" t="s">
        <v>561</v>
      </c>
      <c r="K124">
        <f>E118/10/(E108*C121)</f>
        <v>47.841269841269842</v>
      </c>
    </row>
    <row r="125" spans="1:11" x14ac:dyDescent="0.25">
      <c r="A125" t="str">
        <f>CONCATENATE("Ydelse ved lån på   ",E118," kr. over en ",Løbetid," års periode med ",Renter*100," % i renter")</f>
        <v>Ydelse ved lån på   723360 kr. over en 10 års periode med 5,5 % i renter</v>
      </c>
      <c r="G125" s="384">
        <f>(PMT(A127,A126,E118))/(C123*1000)</f>
        <v>-0.31734972608892204</v>
      </c>
      <c r="H125" t="s">
        <v>562</v>
      </c>
      <c r="I125" s="384">
        <f>PMT(A127,A126,E118)/(E108*C121)</f>
        <v>-63.469945217784407</v>
      </c>
      <c r="J125" t="s">
        <v>561</v>
      </c>
    </row>
    <row r="126" spans="1:11" x14ac:dyDescent="0.25">
      <c r="A126">
        <v>10</v>
      </c>
      <c r="B126" t="s">
        <v>364</v>
      </c>
    </row>
    <row r="127" spans="1:11" x14ac:dyDescent="0.25">
      <c r="A127" s="66">
        <f>Renter</f>
        <v>5.5E-2</v>
      </c>
      <c r="B127" t="s">
        <v>560</v>
      </c>
    </row>
    <row r="128" spans="1:11" x14ac:dyDescent="0.25">
      <c r="A128" s="383"/>
      <c r="B128" s="383"/>
      <c r="C128" s="383"/>
      <c r="D128" s="383"/>
      <c r="E128" s="383"/>
      <c r="F128" s="383"/>
      <c r="G128" s="383"/>
      <c r="H128" s="383"/>
      <c r="I128" s="383"/>
      <c r="J128" s="383"/>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N56"/>
  <sheetViews>
    <sheetView workbookViewId="0">
      <selection activeCell="F25" sqref="F25"/>
    </sheetView>
  </sheetViews>
  <sheetFormatPr defaultRowHeight="15" x14ac:dyDescent="0.25"/>
  <cols>
    <col min="1" max="5" width="9.140625" style="25"/>
    <col min="6" max="6" width="45.85546875" style="25" bestFit="1" customWidth="1"/>
    <col min="7" max="16384" width="9.140625" style="25"/>
  </cols>
  <sheetData>
    <row r="1" spans="1:14" ht="23.25" x14ac:dyDescent="0.35">
      <c r="A1" s="81" t="s">
        <v>319</v>
      </c>
      <c r="B1" s="82"/>
      <c r="C1" s="82"/>
      <c r="D1" s="82"/>
      <c r="E1" s="82"/>
      <c r="F1" s="82"/>
      <c r="G1" s="82"/>
      <c r="H1" s="82"/>
      <c r="I1" s="82"/>
      <c r="J1" s="82"/>
      <c r="K1" s="82"/>
      <c r="L1" s="82"/>
      <c r="M1" s="82"/>
      <c r="N1" s="82"/>
    </row>
    <row r="2" spans="1:14" x14ac:dyDescent="0.25">
      <c r="A2" s="26"/>
      <c r="B2" s="26"/>
      <c r="C2" s="26"/>
      <c r="D2" s="26"/>
      <c r="E2" s="26"/>
      <c r="F2" s="26"/>
      <c r="G2" s="26"/>
      <c r="H2" s="26"/>
      <c r="I2" s="26"/>
      <c r="J2" s="26"/>
      <c r="K2" s="26"/>
      <c r="L2" s="26"/>
      <c r="M2" s="26"/>
      <c r="N2" s="26"/>
    </row>
    <row r="3" spans="1:14" x14ac:dyDescent="0.25">
      <c r="A3" s="83" t="s">
        <v>281</v>
      </c>
      <c r="B3" s="83"/>
      <c r="C3" s="83"/>
      <c r="D3" s="26"/>
      <c r="E3" s="26"/>
      <c r="F3" s="83" t="s">
        <v>81</v>
      </c>
      <c r="G3" s="26"/>
      <c r="H3" s="26"/>
      <c r="I3" s="26"/>
      <c r="J3" s="26"/>
      <c r="K3" s="26"/>
      <c r="L3" s="26"/>
      <c r="M3" s="26"/>
      <c r="N3" s="26"/>
    </row>
    <row r="4" spans="1:14" x14ac:dyDescent="0.25">
      <c r="A4" s="26" t="s">
        <v>282</v>
      </c>
      <c r="B4" s="26"/>
      <c r="C4" s="26"/>
      <c r="D4" s="26"/>
      <c r="E4" s="26"/>
      <c r="F4" s="26" t="s">
        <v>320</v>
      </c>
      <c r="G4" s="26"/>
      <c r="H4" s="26"/>
      <c r="I4" s="26"/>
      <c r="J4" s="26"/>
      <c r="K4" s="26"/>
      <c r="L4" s="26"/>
      <c r="M4" s="26"/>
      <c r="N4" s="26"/>
    </row>
    <row r="5" spans="1:14" x14ac:dyDescent="0.25">
      <c r="A5" s="26" t="s">
        <v>56</v>
      </c>
      <c r="B5" s="26"/>
      <c r="C5" s="26"/>
      <c r="D5" s="26"/>
      <c r="E5" s="26"/>
      <c r="F5" s="26" t="s">
        <v>320</v>
      </c>
      <c r="G5" s="26"/>
      <c r="H5" s="26"/>
      <c r="I5" s="26"/>
      <c r="J5" s="26"/>
      <c r="K5" s="26"/>
      <c r="L5" s="26"/>
      <c r="M5" s="26"/>
      <c r="N5" s="26"/>
    </row>
    <row r="6" spans="1:14" x14ac:dyDescent="0.25">
      <c r="A6" s="26" t="s">
        <v>283</v>
      </c>
      <c r="B6" s="26"/>
      <c r="C6" s="26"/>
      <c r="D6" s="26"/>
      <c r="E6" s="26"/>
      <c r="F6" s="26" t="str">
        <f>IF(Sammenrivning=0,"Bigballepresning","Sammenrivning. "&amp;"Bigballepresning")</f>
        <v>Bigballepresning</v>
      </c>
      <c r="G6" s="26"/>
      <c r="H6" s="26"/>
      <c r="I6" s="26"/>
      <c r="J6" s="26"/>
      <c r="K6" s="26"/>
      <c r="L6" s="26"/>
      <c r="M6" s="26"/>
      <c r="N6" s="26"/>
    </row>
    <row r="7" spans="1:14" x14ac:dyDescent="0.25">
      <c r="A7" s="26" t="s">
        <v>280</v>
      </c>
      <c r="B7" s="26"/>
      <c r="C7" s="26"/>
      <c r="D7" s="26"/>
      <c r="E7" s="26"/>
      <c r="F7" s="26" t="e">
        <f>IF(#REF!=1,"",VLOOKUP(#REF!,Lagring2,2))</f>
        <v>#REF!</v>
      </c>
      <c r="G7" s="26"/>
      <c r="H7" s="26"/>
      <c r="I7" s="26"/>
      <c r="J7" s="26"/>
      <c r="K7" s="26"/>
      <c r="L7" s="26"/>
      <c r="M7" s="26"/>
      <c r="N7" s="26"/>
    </row>
    <row r="8" spans="1:14" x14ac:dyDescent="0.25">
      <c r="A8" s="26" t="s">
        <v>321</v>
      </c>
      <c r="B8" s="26"/>
      <c r="C8" s="26"/>
      <c r="D8" s="26"/>
      <c r="E8" s="26"/>
      <c r="F8" s="26" t="str">
        <f>AfstandLager&amp;" km med "&amp;Indtastningsark_halm!A21</f>
        <v>0,5 km med Traktor med frontlæsser og halmvogn</v>
      </c>
      <c r="G8" s="26"/>
      <c r="H8" s="26"/>
      <c r="I8" s="26"/>
      <c r="J8" s="26"/>
      <c r="K8" s="26"/>
      <c r="L8" s="26"/>
      <c r="M8" s="26"/>
      <c r="N8" s="26"/>
    </row>
    <row r="9" spans="1:14" x14ac:dyDescent="0.25">
      <c r="A9" s="26" t="s">
        <v>322</v>
      </c>
      <c r="B9" s="26"/>
      <c r="C9" s="26"/>
      <c r="D9" s="26"/>
      <c r="E9" s="26"/>
      <c r="F9" s="26"/>
      <c r="G9" s="26"/>
      <c r="H9" s="26"/>
      <c r="I9" s="26"/>
      <c r="J9" s="26"/>
      <c r="K9" s="26"/>
      <c r="L9" s="26"/>
      <c r="M9" s="26"/>
      <c r="N9" s="26"/>
    </row>
    <row r="10" spans="1:14" x14ac:dyDescent="0.25">
      <c r="A10" s="26" t="s">
        <v>101</v>
      </c>
      <c r="B10" s="26"/>
      <c r="C10" s="26"/>
      <c r="D10" s="26"/>
      <c r="E10" s="26"/>
      <c r="F10" s="26" t="e">
        <f>AfstandLager&amp;" km med "&amp;IF(Indtastningsark_halm!AL3=1,Rådata!#REF!,Rådata!#REF!)</f>
        <v>#REF!</v>
      </c>
      <c r="G10" s="26"/>
      <c r="H10" s="26"/>
      <c r="I10" s="26"/>
      <c r="J10" s="26"/>
      <c r="K10" s="26"/>
      <c r="L10" s="26"/>
      <c r="M10" s="26"/>
      <c r="N10" s="26"/>
    </row>
    <row r="11" spans="1:14" x14ac:dyDescent="0.25">
      <c r="A11" s="26"/>
      <c r="B11" s="26"/>
      <c r="C11" s="26"/>
      <c r="D11" s="26"/>
      <c r="E11" s="26"/>
      <c r="F11" s="26"/>
      <c r="G11" s="26"/>
      <c r="H11" s="26"/>
      <c r="I11" s="26"/>
      <c r="J11" s="26"/>
      <c r="K11" s="26"/>
      <c r="L11" s="26"/>
      <c r="M11" s="26"/>
      <c r="N11" s="26"/>
    </row>
    <row r="12" spans="1:14" x14ac:dyDescent="0.25">
      <c r="A12" s="26" t="s">
        <v>284</v>
      </c>
      <c r="B12" s="26"/>
      <c r="C12" s="26"/>
      <c r="D12" s="26"/>
      <c r="E12" s="26"/>
      <c r="F12" s="26" t="s">
        <v>320</v>
      </c>
      <c r="G12" s="26"/>
      <c r="H12" s="26"/>
      <c r="I12" s="26"/>
      <c r="J12" s="26"/>
      <c r="K12" s="26"/>
      <c r="L12" s="26"/>
      <c r="M12" s="26"/>
      <c r="N12" s="26"/>
    </row>
    <row r="13" spans="1:14" x14ac:dyDescent="0.25">
      <c r="A13" s="26" t="s">
        <v>285</v>
      </c>
      <c r="B13" s="26"/>
      <c r="C13" s="26"/>
      <c r="D13" s="26"/>
      <c r="E13" s="26"/>
      <c r="F13" s="26" t="s">
        <v>320</v>
      </c>
      <c r="G13" s="26"/>
      <c r="H13" s="26"/>
      <c r="I13" s="26"/>
      <c r="J13" s="26"/>
      <c r="K13" s="26"/>
      <c r="L13" s="26"/>
      <c r="M13" s="26"/>
      <c r="N13" s="26"/>
    </row>
    <row r="14" spans="1:14" x14ac:dyDescent="0.25">
      <c r="A14" s="26" t="s">
        <v>286</v>
      </c>
      <c r="B14" s="26"/>
      <c r="C14" s="26"/>
      <c r="D14" s="26"/>
      <c r="E14" s="26"/>
      <c r="F14" s="26" t="e">
        <f>IF(#REF!=1,"",#REF!&amp;" "&amp;#REF!)</f>
        <v>#REF!</v>
      </c>
      <c r="G14" s="26"/>
      <c r="H14" s="26"/>
      <c r="I14" s="26"/>
      <c r="J14" s="26"/>
      <c r="K14" s="26"/>
      <c r="L14" s="26"/>
      <c r="M14" s="26"/>
      <c r="N14" s="26"/>
    </row>
    <row r="15" spans="1:14" x14ac:dyDescent="0.25">
      <c r="A15" s="26"/>
      <c r="B15" s="26"/>
      <c r="C15" s="26"/>
      <c r="D15" s="26"/>
      <c r="E15" s="26"/>
      <c r="F15" s="26"/>
      <c r="G15" s="26"/>
      <c r="H15" s="26"/>
      <c r="I15" s="26"/>
      <c r="J15" s="26"/>
      <c r="K15" s="26"/>
      <c r="L15" s="26"/>
      <c r="M15" s="26"/>
      <c r="N15" s="26"/>
    </row>
    <row r="16" spans="1:14" x14ac:dyDescent="0.25">
      <c r="A16" s="84" t="s">
        <v>287</v>
      </c>
      <c r="B16" s="26"/>
      <c r="C16" s="26"/>
      <c r="D16" s="26"/>
      <c r="E16" s="26"/>
      <c r="F16" s="26"/>
      <c r="G16" s="26"/>
      <c r="H16" s="26"/>
      <c r="I16" s="26"/>
      <c r="J16" s="26"/>
      <c r="K16" s="26"/>
      <c r="L16" s="26"/>
      <c r="M16" s="26"/>
      <c r="N16" s="26"/>
    </row>
    <row r="17" spans="1:14" x14ac:dyDescent="0.25">
      <c r="A17" s="26" t="s">
        <v>288</v>
      </c>
      <c r="B17" s="26"/>
      <c r="C17" s="26"/>
      <c r="D17" s="26"/>
      <c r="E17" s="26"/>
      <c r="F17" s="85">
        <f>UDBYTTE_PR_HA</f>
        <v>3.38</v>
      </c>
      <c r="G17" s="26" t="s">
        <v>328</v>
      </c>
      <c r="H17" s="26"/>
      <c r="I17" s="26"/>
      <c r="J17" s="26"/>
      <c r="K17" s="26"/>
      <c r="L17" s="26"/>
      <c r="M17" s="26"/>
      <c r="N17" s="26"/>
    </row>
    <row r="18" spans="1:14" x14ac:dyDescent="0.25">
      <c r="A18" s="26" t="s">
        <v>290</v>
      </c>
      <c r="B18" s="26"/>
      <c r="C18" s="26"/>
      <c r="D18" s="26"/>
      <c r="E18" s="26"/>
      <c r="F18" s="86">
        <f>Indtastningsark_halm!C7</f>
        <v>0.85</v>
      </c>
      <c r="G18" s="26" t="s">
        <v>291</v>
      </c>
      <c r="H18" s="26"/>
      <c r="I18" s="26"/>
      <c r="J18" s="26"/>
      <c r="K18" s="26"/>
      <c r="L18" s="26"/>
      <c r="M18" s="26"/>
      <c r="N18" s="26"/>
    </row>
    <row r="19" spans="1:14" x14ac:dyDescent="0.25">
      <c r="A19" s="26" t="s">
        <v>292</v>
      </c>
      <c r="B19" s="26"/>
      <c r="C19" s="26"/>
      <c r="D19" s="26"/>
      <c r="E19" s="26"/>
      <c r="F19" s="86" t="e">
        <f>IF(#REF!=1,"",#REF!)</f>
        <v>#REF!</v>
      </c>
      <c r="G19" s="26" t="s">
        <v>293</v>
      </c>
      <c r="H19" s="26"/>
      <c r="I19" s="26"/>
      <c r="J19" s="26"/>
      <c r="K19" s="26"/>
      <c r="L19" s="26"/>
      <c r="M19" s="26"/>
      <c r="N19" s="26"/>
    </row>
    <row r="20" spans="1:14" x14ac:dyDescent="0.25">
      <c r="A20" s="26" t="s">
        <v>294</v>
      </c>
      <c r="B20" s="26"/>
      <c r="C20" s="26"/>
      <c r="D20" s="26"/>
      <c r="E20" s="26"/>
      <c r="F20" s="85" t="e">
        <f>IF(#REF!=1,"",#REF!)</f>
        <v>#REF!</v>
      </c>
      <c r="G20" s="26" t="s">
        <v>289</v>
      </c>
      <c r="H20" s="26"/>
      <c r="I20" s="26"/>
      <c r="J20" s="26"/>
      <c r="K20" s="26"/>
      <c r="L20" s="26"/>
      <c r="M20" s="26"/>
      <c r="N20" s="26"/>
    </row>
    <row r="21" spans="1:14" ht="17.25" x14ac:dyDescent="0.25">
      <c r="A21" s="26" t="s">
        <v>295</v>
      </c>
      <c r="B21" s="26"/>
      <c r="C21" s="26"/>
      <c r="D21" s="26"/>
      <c r="E21" s="26"/>
      <c r="F21" s="85" t="e">
        <f>IF(#REF!=1,"",#REF!)</f>
        <v>#REF!</v>
      </c>
      <c r="G21" s="26" t="s">
        <v>296</v>
      </c>
      <c r="H21" s="26"/>
      <c r="I21" s="26"/>
      <c r="J21" s="26"/>
      <c r="K21" s="26"/>
      <c r="L21" s="26"/>
      <c r="M21" s="26"/>
      <c r="N21" s="26"/>
    </row>
    <row r="22" spans="1:14" x14ac:dyDescent="0.25">
      <c r="A22" s="26" t="s">
        <v>297</v>
      </c>
      <c r="B22" s="26"/>
      <c r="C22" s="26"/>
      <c r="D22" s="26"/>
      <c r="E22" s="26"/>
      <c r="F22" s="85" t="e">
        <f>IF(#REF!=1,"",#REF!)</f>
        <v>#REF!</v>
      </c>
      <c r="G22" s="26" t="s">
        <v>289</v>
      </c>
      <c r="H22" s="26"/>
      <c r="I22" s="26"/>
      <c r="J22" s="26"/>
      <c r="K22" s="26"/>
      <c r="L22" s="26"/>
      <c r="M22" s="26"/>
      <c r="N22" s="26"/>
    </row>
    <row r="23" spans="1:14" x14ac:dyDescent="0.25">
      <c r="A23" s="26"/>
      <c r="B23" s="26"/>
      <c r="C23" s="26"/>
      <c r="D23" s="26"/>
      <c r="E23" s="26"/>
      <c r="F23" s="26"/>
      <c r="G23" s="26"/>
      <c r="H23" s="26"/>
      <c r="I23" s="26"/>
      <c r="J23" s="26"/>
      <c r="K23" s="26"/>
      <c r="L23" s="26"/>
      <c r="M23" s="26"/>
      <c r="N23" s="26"/>
    </row>
    <row r="24" spans="1:14" x14ac:dyDescent="0.25">
      <c r="A24" s="84" t="s">
        <v>298</v>
      </c>
      <c r="B24" s="26"/>
      <c r="C24" s="26"/>
      <c r="D24" s="26"/>
      <c r="E24" s="26"/>
      <c r="F24" s="26"/>
      <c r="G24" s="26"/>
      <c r="H24" s="26"/>
      <c r="I24" s="26"/>
      <c r="J24" s="26"/>
      <c r="K24" s="26"/>
      <c r="L24" s="26"/>
      <c r="M24" s="26"/>
      <c r="N24" s="26"/>
    </row>
    <row r="25" spans="1:14" x14ac:dyDescent="0.25">
      <c r="A25" s="26" t="s">
        <v>329</v>
      </c>
      <c r="B25" s="26"/>
      <c r="C25" s="26"/>
      <c r="D25" s="26"/>
      <c r="E25" s="26"/>
      <c r="F25" s="85">
        <f>Sammenrivning+Bigballepresning</f>
        <v>-145.45454545454544</v>
      </c>
      <c r="G25" s="26" t="s">
        <v>299</v>
      </c>
      <c r="H25" s="26"/>
      <c r="I25" s="26"/>
      <c r="J25" s="26"/>
      <c r="K25" s="26"/>
      <c r="L25" s="26"/>
      <c r="M25" s="26"/>
      <c r="N25" s="26"/>
    </row>
    <row r="26" spans="1:14" x14ac:dyDescent="0.25">
      <c r="A26" s="26" t="s">
        <v>300</v>
      </c>
      <c r="B26" s="26"/>
      <c r="C26" s="26"/>
      <c r="D26" s="26"/>
      <c r="E26" s="26"/>
      <c r="F26" s="85" t="e">
        <f>IF(#REF!=1,"",#REF!)</f>
        <v>#REF!</v>
      </c>
      <c r="G26" s="26" t="s">
        <v>299</v>
      </c>
      <c r="H26" s="26"/>
      <c r="I26" s="26"/>
      <c r="J26" s="26"/>
      <c r="K26" s="26"/>
      <c r="L26" s="26"/>
      <c r="M26" s="26"/>
      <c r="N26" s="26"/>
    </row>
    <row r="27" spans="1:14" x14ac:dyDescent="0.25">
      <c r="A27" s="26" t="s">
        <v>301</v>
      </c>
      <c r="B27" s="26"/>
      <c r="C27" s="26"/>
      <c r="D27" s="26"/>
      <c r="E27" s="26"/>
      <c r="F27" s="85" t="e">
        <f>IF(#REF!=1,"",#REF!)</f>
        <v>#REF!</v>
      </c>
      <c r="G27" s="26" t="s">
        <v>299</v>
      </c>
      <c r="H27" s="26"/>
      <c r="I27" s="26"/>
      <c r="J27" s="26"/>
      <c r="K27" s="26"/>
      <c r="L27" s="26"/>
      <c r="M27" s="26"/>
      <c r="N27" s="26"/>
    </row>
    <row r="28" spans="1:14" x14ac:dyDescent="0.25">
      <c r="A28" s="84" t="s">
        <v>302</v>
      </c>
      <c r="B28" s="26"/>
      <c r="C28" s="26"/>
      <c r="D28" s="26"/>
      <c r="E28" s="26"/>
      <c r="F28" s="87" t="e">
        <f>IF(#REF!=1,"",#REF!)</f>
        <v>#REF!</v>
      </c>
      <c r="G28" s="84" t="s">
        <v>299</v>
      </c>
      <c r="H28" s="26"/>
      <c r="I28" s="87" t="e">
        <f>F28</f>
        <v>#REF!</v>
      </c>
      <c r="J28" s="84" t="s">
        <v>299</v>
      </c>
      <c r="K28" s="26"/>
      <c r="L28" s="26"/>
      <c r="M28" s="26"/>
      <c r="N28" s="26"/>
    </row>
    <row r="29" spans="1:14" x14ac:dyDescent="0.25">
      <c r="A29" s="26"/>
      <c r="B29" s="26"/>
      <c r="C29" s="26"/>
      <c r="D29" s="26"/>
      <c r="E29" s="26"/>
      <c r="F29" s="26"/>
      <c r="G29" s="26"/>
      <c r="H29" s="26"/>
      <c r="I29" s="26"/>
      <c r="J29" s="26"/>
      <c r="K29" s="26"/>
      <c r="L29" s="26"/>
      <c r="M29" s="26"/>
      <c r="N29" s="26"/>
    </row>
    <row r="30" spans="1:14" x14ac:dyDescent="0.25">
      <c r="A30" s="26" t="s">
        <v>20</v>
      </c>
      <c r="B30" s="26"/>
      <c r="C30" s="26"/>
      <c r="D30" s="26"/>
      <c r="E30" s="26"/>
      <c r="F30" s="85" t="e">
        <f>IF(#REF!=1,"",#REF!)</f>
        <v>#REF!</v>
      </c>
      <c r="G30" s="26" t="s">
        <v>299</v>
      </c>
      <c r="H30" s="26"/>
      <c r="I30" s="26"/>
      <c r="J30" s="26"/>
      <c r="K30" s="26"/>
      <c r="L30" s="26"/>
      <c r="M30" s="26"/>
      <c r="N30" s="26"/>
    </row>
    <row r="31" spans="1:14" x14ac:dyDescent="0.25">
      <c r="A31" s="26" t="s">
        <v>284</v>
      </c>
      <c r="B31" s="26"/>
      <c r="C31" s="26"/>
      <c r="D31" s="26"/>
      <c r="E31" s="26"/>
      <c r="F31" s="85" t="e">
        <f>IF(#REF!=1,"",#REF!)</f>
        <v>#REF!</v>
      </c>
      <c r="G31" s="26" t="s">
        <v>299</v>
      </c>
      <c r="H31" s="26"/>
      <c r="I31" s="26"/>
      <c r="J31" s="26"/>
      <c r="K31" s="26"/>
      <c r="L31" s="26"/>
      <c r="M31" s="26"/>
      <c r="N31" s="26"/>
    </row>
    <row r="32" spans="1:14" x14ac:dyDescent="0.25">
      <c r="A32" s="26" t="s">
        <v>22</v>
      </c>
      <c r="B32" s="26"/>
      <c r="C32" s="26"/>
      <c r="D32" s="26"/>
      <c r="E32" s="26"/>
      <c r="F32" s="85" t="e">
        <f>IF(#REF!=1,"",#REF!)</f>
        <v>#REF!</v>
      </c>
      <c r="G32" s="26" t="s">
        <v>299</v>
      </c>
      <c r="H32" s="26"/>
      <c r="I32" s="26"/>
      <c r="J32" s="26"/>
      <c r="K32" s="26"/>
      <c r="L32" s="26"/>
      <c r="M32" s="26"/>
      <c r="N32" s="26"/>
    </row>
    <row r="33" spans="1:14" x14ac:dyDescent="0.25">
      <c r="A33" s="26" t="s">
        <v>23</v>
      </c>
      <c r="B33" s="26"/>
      <c r="C33" s="26"/>
      <c r="D33" s="26"/>
      <c r="E33" s="26"/>
      <c r="F33" s="85" t="e">
        <f>IF(#REF!=1,"",#REF!)</f>
        <v>#REF!</v>
      </c>
      <c r="G33" s="26" t="s">
        <v>299</v>
      </c>
      <c r="H33" s="26"/>
      <c r="I33" s="26"/>
      <c r="J33" s="26"/>
      <c r="K33" s="26"/>
      <c r="L33" s="26"/>
      <c r="M33" s="26"/>
      <c r="N33" s="26"/>
    </row>
    <row r="34" spans="1:14" x14ac:dyDescent="0.25">
      <c r="A34" s="26" t="e">
        <f>IF(#REF!=1,"Bjærgning",IF(#REF!=1,"Finsnitning + hjemkørsel","Rundballepresning"))</f>
        <v>#REF!</v>
      </c>
      <c r="B34" s="26"/>
      <c r="C34" s="26"/>
      <c r="D34" s="26"/>
      <c r="E34" s="26"/>
      <c r="F34" s="85" t="e">
        <f>IF(#REF!=1,"",IF(#REF!=1,#REF!,#REF!))</f>
        <v>#REF!</v>
      </c>
      <c r="G34" s="26" t="s">
        <v>299</v>
      </c>
      <c r="H34" s="26"/>
      <c r="I34" s="26"/>
      <c r="J34" s="26"/>
      <c r="K34" s="26"/>
      <c r="L34" s="26"/>
      <c r="M34" s="26"/>
      <c r="N34" s="26"/>
    </row>
    <row r="35" spans="1:14" x14ac:dyDescent="0.25">
      <c r="A35" s="26" t="s">
        <v>303</v>
      </c>
      <c r="B35" s="26"/>
      <c r="C35" s="26"/>
      <c r="D35" s="26"/>
      <c r="E35" s="26"/>
      <c r="F35" s="85" t="e">
        <f>IF(#REF!=1,"",#REF!)</f>
        <v>#REF!</v>
      </c>
      <c r="G35" s="26" t="s">
        <v>299</v>
      </c>
      <c r="H35" s="26"/>
      <c r="I35" s="26"/>
      <c r="J35" s="26"/>
      <c r="K35" s="26"/>
      <c r="L35" s="26"/>
      <c r="M35" s="26"/>
      <c r="N35" s="26"/>
    </row>
    <row r="36" spans="1:14" x14ac:dyDescent="0.25">
      <c r="A36" s="84" t="s">
        <v>304</v>
      </c>
      <c r="B36" s="26"/>
      <c r="C36" s="26"/>
      <c r="D36" s="26"/>
      <c r="E36" s="26"/>
      <c r="F36" s="87" t="e">
        <f>IF(#REF!=1,"",#REF!)</f>
        <v>#REF!</v>
      </c>
      <c r="G36" s="84" t="s">
        <v>299</v>
      </c>
      <c r="H36" s="26"/>
      <c r="I36" s="87" t="e">
        <f>F36</f>
        <v>#REF!</v>
      </c>
      <c r="J36" s="84" t="s">
        <v>299</v>
      </c>
      <c r="K36" s="26"/>
      <c r="L36" s="26"/>
      <c r="M36" s="26"/>
      <c r="N36" s="26"/>
    </row>
    <row r="37" spans="1:14" x14ac:dyDescent="0.25">
      <c r="A37" s="26"/>
      <c r="B37" s="26"/>
      <c r="C37" s="26"/>
      <c r="D37" s="26"/>
      <c r="E37" s="26"/>
      <c r="F37" s="26"/>
      <c r="G37" s="26"/>
      <c r="H37" s="26"/>
      <c r="I37" s="26"/>
      <c r="J37" s="26"/>
      <c r="K37" s="26"/>
      <c r="L37" s="26"/>
      <c r="M37" s="26"/>
      <c r="N37" s="26"/>
    </row>
    <row r="38" spans="1:14" x14ac:dyDescent="0.25">
      <c r="A38" s="26" t="s">
        <v>305</v>
      </c>
      <c r="B38" s="26"/>
      <c r="C38" s="26"/>
      <c r="D38" s="26"/>
      <c r="E38" s="26"/>
      <c r="F38" s="85" t="e">
        <f>IF(#REF!=1,"",#REF!)</f>
        <v>#REF!</v>
      </c>
      <c r="G38" s="26" t="s">
        <v>299</v>
      </c>
      <c r="H38" s="26"/>
      <c r="I38" s="26"/>
      <c r="J38" s="26"/>
      <c r="K38" s="26"/>
      <c r="L38" s="26"/>
      <c r="M38" s="26"/>
      <c r="N38" s="26"/>
    </row>
    <row r="39" spans="1:14" x14ac:dyDescent="0.25">
      <c r="A39" s="26" t="s">
        <v>306</v>
      </c>
      <c r="B39" s="26"/>
      <c r="C39" s="26"/>
      <c r="D39" s="26"/>
      <c r="E39" s="26"/>
      <c r="F39" s="85" t="e">
        <f>IF(#REF!=1,"",#REF!)</f>
        <v>#REF!</v>
      </c>
      <c r="G39" s="26" t="s">
        <v>299</v>
      </c>
      <c r="H39" s="26"/>
      <c r="I39" s="26"/>
      <c r="J39" s="26"/>
      <c r="K39" s="26"/>
      <c r="L39" s="26"/>
      <c r="M39" s="26"/>
      <c r="N39" s="26"/>
    </row>
    <row r="40" spans="1:14" x14ac:dyDescent="0.25">
      <c r="A40" s="26" t="s">
        <v>307</v>
      </c>
      <c r="B40" s="26"/>
      <c r="C40" s="26"/>
      <c r="D40" s="26"/>
      <c r="E40" s="26"/>
      <c r="F40" s="85" t="e">
        <f>IF(#REF!=1,"",#REF!)</f>
        <v>#REF!</v>
      </c>
      <c r="G40" s="26" t="s">
        <v>299</v>
      </c>
      <c r="H40" s="26"/>
      <c r="I40" s="26"/>
      <c r="J40" s="26"/>
      <c r="K40" s="26"/>
      <c r="L40" s="26"/>
      <c r="M40" s="26"/>
      <c r="N40" s="26"/>
    </row>
    <row r="41" spans="1:14" x14ac:dyDescent="0.25">
      <c r="A41" s="84" t="s">
        <v>308</v>
      </c>
      <c r="B41" s="26"/>
      <c r="C41" s="26"/>
      <c r="D41" s="26"/>
      <c r="E41" s="26"/>
      <c r="F41" s="87" t="e">
        <f>IF(#REF!=1,"",#REF!)</f>
        <v>#REF!</v>
      </c>
      <c r="G41" s="84" t="s">
        <v>299</v>
      </c>
      <c r="H41" s="26"/>
      <c r="I41" s="87" t="e">
        <f>F41</f>
        <v>#REF!</v>
      </c>
      <c r="J41" s="84" t="s">
        <v>299</v>
      </c>
      <c r="K41" s="26"/>
      <c r="L41" s="26"/>
      <c r="M41" s="26"/>
      <c r="N41" s="26"/>
    </row>
    <row r="42" spans="1:14" x14ac:dyDescent="0.25">
      <c r="A42" s="26"/>
      <c r="B42" s="26"/>
      <c r="C42" s="26"/>
      <c r="D42" s="26"/>
      <c r="E42" s="26"/>
      <c r="F42" s="26"/>
      <c r="G42" s="26"/>
      <c r="H42" s="26"/>
      <c r="I42" s="26"/>
      <c r="J42" s="26"/>
      <c r="K42" s="26"/>
      <c r="L42" s="26"/>
      <c r="M42" s="26"/>
      <c r="N42" s="26"/>
    </row>
    <row r="43" spans="1:14" x14ac:dyDescent="0.25">
      <c r="A43" s="26" t="e">
        <f>IF(#REF!=1,"Lager",VLOOKUP(#REF!,Lagring2,2))</f>
        <v>#REF!</v>
      </c>
      <c r="B43" s="26"/>
      <c r="C43" s="26"/>
      <c r="D43" s="26"/>
      <c r="E43" s="26"/>
      <c r="F43" s="85" t="e">
        <f>IF(#REF!=1,"",#REF!)</f>
        <v>#REF!</v>
      </c>
      <c r="G43" s="26" t="s">
        <v>299</v>
      </c>
      <c r="H43" s="26"/>
      <c r="I43" s="26"/>
      <c r="J43" s="26"/>
      <c r="K43" s="26"/>
      <c r="L43" s="26"/>
      <c r="M43" s="26"/>
      <c r="N43" s="26"/>
    </row>
    <row r="44" spans="1:14" x14ac:dyDescent="0.25">
      <c r="A44" s="26" t="e">
        <f>IF(#REF!&gt;0,"Wrapning","Plast mv.")</f>
        <v>#REF!</v>
      </c>
      <c r="B44" s="26"/>
      <c r="C44" s="26"/>
      <c r="D44" s="26"/>
      <c r="E44" s="26"/>
      <c r="F44" s="85" t="e">
        <f>IF(#REF!=1,"",IF(#REF!&gt;0,#REF!,#REF!))</f>
        <v>#REF!</v>
      </c>
      <c r="G44" s="26" t="s">
        <v>299</v>
      </c>
      <c r="H44" s="26"/>
      <c r="I44" s="26"/>
      <c r="J44" s="26"/>
      <c r="K44" s="26"/>
      <c r="L44" s="26"/>
      <c r="M44" s="26"/>
      <c r="N44" s="26"/>
    </row>
    <row r="45" spans="1:14" x14ac:dyDescent="0.25">
      <c r="A45" s="84" t="s">
        <v>309</v>
      </c>
      <c r="B45" s="26"/>
      <c r="C45" s="26"/>
      <c r="D45" s="26"/>
      <c r="E45" s="26"/>
      <c r="F45" s="87" t="e">
        <f>IF(#REF!=1,"",#REF!)</f>
        <v>#REF!</v>
      </c>
      <c r="G45" s="84" t="s">
        <v>299</v>
      </c>
      <c r="H45" s="26"/>
      <c r="I45" s="87" t="e">
        <f>F45</f>
        <v>#REF!</v>
      </c>
      <c r="J45" s="84" t="s">
        <v>299</v>
      </c>
      <c r="K45" s="26"/>
      <c r="L45" s="26"/>
      <c r="M45" s="26"/>
      <c r="N45" s="26"/>
    </row>
    <row r="46" spans="1:14" x14ac:dyDescent="0.25">
      <c r="A46" s="26"/>
      <c r="B46" s="26"/>
      <c r="C46" s="26"/>
      <c r="D46" s="26"/>
      <c r="E46" s="26"/>
      <c r="F46" s="84"/>
      <c r="G46" s="26"/>
      <c r="H46" s="26"/>
      <c r="I46" s="26"/>
      <c r="J46" s="26"/>
      <c r="K46" s="26"/>
      <c r="L46" s="26"/>
      <c r="M46" s="26"/>
      <c r="N46" s="26"/>
    </row>
    <row r="47" spans="1:14" x14ac:dyDescent="0.25">
      <c r="A47" s="84" t="s">
        <v>1</v>
      </c>
      <c r="B47" s="26"/>
      <c r="C47" s="26"/>
      <c r="D47" s="26"/>
      <c r="E47" s="26"/>
      <c r="F47" s="87" t="e">
        <f>IF(#REF!=1,"",#REF!)</f>
        <v>#REF!</v>
      </c>
      <c r="G47" s="84" t="s">
        <v>299</v>
      </c>
      <c r="H47" s="26"/>
      <c r="I47" s="87" t="e">
        <f>F47</f>
        <v>#REF!</v>
      </c>
      <c r="J47" s="84" t="s">
        <v>299</v>
      </c>
      <c r="K47" s="26"/>
      <c r="L47" s="26"/>
      <c r="M47" s="26"/>
      <c r="N47" s="26"/>
    </row>
    <row r="48" spans="1:14" x14ac:dyDescent="0.25">
      <c r="A48" s="26"/>
      <c r="B48" s="26"/>
      <c r="C48" s="26"/>
      <c r="D48" s="26"/>
      <c r="E48" s="26"/>
      <c r="F48" s="84"/>
      <c r="G48" s="26"/>
      <c r="H48" s="26"/>
      <c r="I48" s="26"/>
      <c r="J48" s="26"/>
      <c r="K48" s="26"/>
      <c r="L48" s="26"/>
      <c r="M48" s="26"/>
      <c r="N48" s="26"/>
    </row>
    <row r="49" spans="1:14" x14ac:dyDescent="0.25">
      <c r="A49" s="84" t="s">
        <v>310</v>
      </c>
      <c r="B49" s="26"/>
      <c r="C49" s="26"/>
      <c r="D49" s="26"/>
      <c r="E49" s="26"/>
      <c r="F49" s="26"/>
      <c r="G49" s="26"/>
      <c r="H49" s="26"/>
      <c r="I49" s="87" t="e">
        <f>IF(#REF!=1,"",#REF!)</f>
        <v>#REF!</v>
      </c>
      <c r="J49" s="84" t="s">
        <v>299</v>
      </c>
      <c r="K49" s="26"/>
      <c r="L49" s="26"/>
      <c r="M49" s="26"/>
      <c r="N49" s="26"/>
    </row>
    <row r="50" spans="1:14" x14ac:dyDescent="0.25">
      <c r="A50" s="26"/>
      <c r="B50" s="26"/>
      <c r="C50" s="26"/>
      <c r="D50" s="26"/>
      <c r="E50" s="26"/>
      <c r="F50" s="84"/>
      <c r="G50" s="26"/>
      <c r="H50" s="26"/>
      <c r="I50" s="26"/>
      <c r="J50" s="26"/>
      <c r="K50" s="26"/>
      <c r="L50" s="26"/>
      <c r="M50" s="26"/>
      <c r="N50" s="26"/>
    </row>
    <row r="51" spans="1:14" x14ac:dyDescent="0.25">
      <c r="A51" s="84" t="s">
        <v>311</v>
      </c>
      <c r="B51" s="26"/>
      <c r="C51" s="26"/>
      <c r="D51" s="26"/>
      <c r="E51" s="26"/>
      <c r="F51" s="26"/>
      <c r="G51" s="26"/>
      <c r="H51" s="26"/>
      <c r="I51" s="26"/>
      <c r="J51" s="26"/>
      <c r="K51" s="26"/>
      <c r="L51" s="26"/>
      <c r="M51" s="26"/>
      <c r="N51" s="26"/>
    </row>
    <row r="52" spans="1:14" x14ac:dyDescent="0.25">
      <c r="A52" s="26"/>
      <c r="B52" s="26"/>
      <c r="C52" s="26"/>
      <c r="D52" s="26"/>
      <c r="E52" s="26"/>
      <c r="F52" s="26"/>
      <c r="G52" s="26"/>
      <c r="H52" s="26"/>
      <c r="I52" s="26"/>
      <c r="J52" s="26"/>
      <c r="K52" s="26"/>
      <c r="L52" s="26"/>
      <c r="M52" s="26"/>
      <c r="N52" s="26"/>
    </row>
    <row r="53" spans="1:14" x14ac:dyDescent="0.25">
      <c r="A53" s="26"/>
      <c r="B53" s="26"/>
      <c r="C53" s="26"/>
      <c r="D53" s="84" t="s">
        <v>312</v>
      </c>
      <c r="E53" s="84"/>
      <c r="F53" s="88" t="s">
        <v>313</v>
      </c>
      <c r="G53" s="84"/>
      <c r="H53" s="84" t="s">
        <v>314</v>
      </c>
      <c r="I53" s="26"/>
      <c r="J53" s="26"/>
      <c r="K53" s="26"/>
      <c r="L53" s="26"/>
      <c r="M53" s="26"/>
      <c r="N53" s="26"/>
    </row>
    <row r="54" spans="1:14" x14ac:dyDescent="0.25">
      <c r="A54" s="84" t="s">
        <v>315</v>
      </c>
      <c r="B54" s="26"/>
      <c r="C54" s="26"/>
      <c r="D54" s="85" t="e">
        <f>IF(#REF!=1,"",#REF!)</f>
        <v>#REF!</v>
      </c>
      <c r="E54" s="26"/>
      <c r="F54" s="85" t="e">
        <f>IF(#REF!=1,"",#REF!)</f>
        <v>#REF!</v>
      </c>
      <c r="G54" s="26"/>
      <c r="H54" s="85" t="e">
        <f>IF(#REF!=1,"",#REF!)</f>
        <v>#REF!</v>
      </c>
      <c r="I54" s="80" t="s">
        <v>316</v>
      </c>
      <c r="J54" s="26"/>
      <c r="K54" s="26"/>
      <c r="L54" s="26"/>
      <c r="M54" s="26"/>
      <c r="N54" s="26"/>
    </row>
    <row r="55" spans="1:14" x14ac:dyDescent="0.25">
      <c r="A55" s="84" t="s">
        <v>317</v>
      </c>
      <c r="B55" s="26"/>
      <c r="C55" s="26"/>
      <c r="D55" s="85" t="e">
        <f>IF(#REF!=1,"",#REF!)</f>
        <v>#REF!</v>
      </c>
      <c r="E55" s="26"/>
      <c r="F55" s="85" t="e">
        <f>IF(#REF!=1,"",#REF!)</f>
        <v>#REF!</v>
      </c>
      <c r="G55" s="26"/>
      <c r="H55" s="85" t="e">
        <f>IF(#REF!=1,"",#REF!)</f>
        <v>#REF!</v>
      </c>
      <c r="I55" s="80" t="s">
        <v>316</v>
      </c>
      <c r="J55" s="26"/>
      <c r="K55" s="26"/>
      <c r="L55" s="26"/>
      <c r="M55" s="26"/>
      <c r="N55" s="26"/>
    </row>
    <row r="56" spans="1:14" ht="17.25" x14ac:dyDescent="0.25">
      <c r="A56" s="84" t="s">
        <v>295</v>
      </c>
      <c r="B56" s="26"/>
      <c r="C56" s="26"/>
      <c r="D56" s="89" t="e">
        <f>IF(#REF!=1,"",#REF!)</f>
        <v>#REF!</v>
      </c>
      <c r="E56" s="26"/>
      <c r="F56" s="89" t="e">
        <f>IF(#REF!=1,"",#REF!)</f>
        <v>#REF!</v>
      </c>
      <c r="G56" s="26"/>
      <c r="H56" s="89" t="e">
        <f>IF(#REF!=1,"",#REF!)</f>
        <v>#REF!</v>
      </c>
      <c r="I56" s="80" t="s">
        <v>318</v>
      </c>
      <c r="J56" s="26"/>
      <c r="K56" s="26"/>
      <c r="L56" s="26"/>
      <c r="M56" s="26"/>
      <c r="N56" s="2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tabColor theme="5" tint="0.59999389629810485"/>
  </sheetPr>
  <dimension ref="A1:AD27"/>
  <sheetViews>
    <sheetView workbookViewId="0">
      <selection activeCell="E21" sqref="E21"/>
    </sheetView>
  </sheetViews>
  <sheetFormatPr defaultRowHeight="15" x14ac:dyDescent="0.25"/>
  <cols>
    <col min="1" max="1" width="50" style="5" customWidth="1"/>
    <col min="2" max="2" width="4.7109375" style="5" customWidth="1"/>
    <col min="3" max="4" width="9.140625" style="5"/>
    <col min="5" max="5" width="35.7109375" style="5" customWidth="1"/>
    <col min="6" max="6" width="13.42578125" style="5" customWidth="1"/>
    <col min="7" max="7" width="10.7109375" style="5" bestFit="1" customWidth="1"/>
    <col min="8" max="8" width="9.140625" style="5"/>
    <col min="9" max="10" width="12.5703125" style="5" bestFit="1" customWidth="1"/>
    <col min="11" max="11" width="12.85546875" style="5" bestFit="1" customWidth="1"/>
    <col min="12" max="12" width="9.140625" style="5"/>
    <col min="13" max="13" width="8" style="5" customWidth="1"/>
    <col min="14" max="16384" width="9.140625" style="5"/>
  </cols>
  <sheetData>
    <row r="1" spans="1:30" ht="21" x14ac:dyDescent="0.35">
      <c r="A1" s="4" t="s">
        <v>123</v>
      </c>
      <c r="AC1" s="5" t="s">
        <v>1</v>
      </c>
      <c r="AD1" s="5">
        <v>1</v>
      </c>
    </row>
    <row r="2" spans="1:30" x14ac:dyDescent="0.25">
      <c r="AC2" s="5" t="s">
        <v>217</v>
      </c>
      <c r="AD2" s="5">
        <v>2</v>
      </c>
    </row>
    <row r="3" spans="1:30" ht="15.75" thickBot="1" x14ac:dyDescent="0.3">
      <c r="A3" s="60" t="s">
        <v>13</v>
      </c>
      <c r="E3" s="6" t="s">
        <v>187</v>
      </c>
      <c r="AC3" s="5" t="s">
        <v>214</v>
      </c>
      <c r="AD3" s="5">
        <v>2</v>
      </c>
    </row>
    <row r="4" spans="1:30" ht="16.5" thickTop="1" thickBot="1" x14ac:dyDescent="0.3">
      <c r="A4" s="5" t="s">
        <v>120</v>
      </c>
      <c r="C4" s="10">
        <v>1000</v>
      </c>
      <c r="E4" s="5" t="s">
        <v>220</v>
      </c>
      <c r="G4" s="44">
        <f>(C9*9/12)/C8</f>
        <v>2625</v>
      </c>
      <c r="AC4" s="5" t="s">
        <v>215</v>
      </c>
      <c r="AD4" s="5">
        <v>2</v>
      </c>
    </row>
    <row r="5" spans="1:30" ht="16.5" thickTop="1" thickBot="1" x14ac:dyDescent="0.3">
      <c r="A5" s="5" t="s">
        <v>14</v>
      </c>
      <c r="C5" s="36">
        <v>0.05</v>
      </c>
      <c r="E5" s="5" t="s">
        <v>218</v>
      </c>
      <c r="G5" s="7">
        <v>1000</v>
      </c>
      <c r="AC5" s="5" t="s">
        <v>216</v>
      </c>
      <c r="AD5" s="5">
        <v>3</v>
      </c>
    </row>
    <row r="6" spans="1:30" ht="16.5" thickTop="1" thickBot="1" x14ac:dyDescent="0.3">
      <c r="A6" s="5" t="s">
        <v>121</v>
      </c>
      <c r="C6" s="36">
        <v>0.8</v>
      </c>
      <c r="E6" s="5" t="s">
        <v>219</v>
      </c>
      <c r="G6" s="44">
        <f>G4-G5</f>
        <v>1625</v>
      </c>
      <c r="AC6" s="5" t="s">
        <v>215</v>
      </c>
      <c r="AD6" s="5">
        <v>1</v>
      </c>
    </row>
    <row r="7" spans="1:30" ht="16.5" thickTop="1" thickBot="1" x14ac:dyDescent="0.3">
      <c r="A7" s="5" t="s">
        <v>122</v>
      </c>
      <c r="C7" s="7">
        <f>Forudsætninger!V28</f>
        <v>199</v>
      </c>
    </row>
    <row r="8" spans="1:30" ht="16.5" thickTop="1" thickBot="1" x14ac:dyDescent="0.3">
      <c r="A8" s="5" t="s">
        <v>143</v>
      </c>
      <c r="C8" s="7">
        <v>1</v>
      </c>
      <c r="E8" s="5" t="s">
        <v>208</v>
      </c>
    </row>
    <row r="9" spans="1:30" ht="16.5" thickTop="1" thickBot="1" x14ac:dyDescent="0.3">
      <c r="A9" s="5" t="s">
        <v>184</v>
      </c>
      <c r="C9" s="10">
        <v>3500</v>
      </c>
      <c r="E9" s="5" t="s">
        <v>209</v>
      </c>
    </row>
    <row r="10" spans="1:30" ht="16.5" thickTop="1" thickBot="1" x14ac:dyDescent="0.3"/>
    <row r="11" spans="1:30" ht="16.5" thickTop="1" thickBot="1" x14ac:dyDescent="0.3">
      <c r="A11" s="6" t="s">
        <v>125</v>
      </c>
      <c r="E11" s="5" t="s">
        <v>210</v>
      </c>
      <c r="G11" s="10" t="e">
        <f>IF(AD4=1,0,VLOOKUP($AD$3,Rådata!#REF!,4))</f>
        <v>#REF!</v>
      </c>
    </row>
    <row r="12" spans="1:30" ht="16.5" thickTop="1" thickBot="1" x14ac:dyDescent="0.3">
      <c r="E12" s="5" t="s">
        <v>211</v>
      </c>
      <c r="G12" s="10" t="e">
        <f>IF(AD4=1,0,VLOOKUP($AD$3,Rådata!#REF!,5))</f>
        <v>#REF!</v>
      </c>
    </row>
    <row r="13" spans="1:30" ht="16.5" thickTop="1" thickBot="1" x14ac:dyDescent="0.3">
      <c r="E13" s="5" t="s">
        <v>212</v>
      </c>
      <c r="G13" s="10" t="e">
        <f>IF(AD4=1,0,VLOOKUP($AD$3,Rådata!#REF!,6))</f>
        <v>#REF!</v>
      </c>
    </row>
    <row r="14" spans="1:30" ht="16.5" thickTop="1" thickBot="1" x14ac:dyDescent="0.3">
      <c r="A14" s="5" t="s">
        <v>124</v>
      </c>
      <c r="C14" s="59">
        <v>10</v>
      </c>
      <c r="E14" s="5" t="s">
        <v>25</v>
      </c>
      <c r="G14" s="36">
        <f>IF(AD4=1,0,8%)</f>
        <v>0.08</v>
      </c>
      <c r="J14" s="28"/>
    </row>
    <row r="15" spans="1:30" ht="16.5" thickTop="1" thickBot="1" x14ac:dyDescent="0.3">
      <c r="A15" s="5" t="e">
        <f>VLOOKUP(AD1,Rådata!#REF!,3)</f>
        <v>#REF!</v>
      </c>
      <c r="C15" s="59" t="e">
        <f>VLOOKUP(AD1,Rådata!#REF!,4)</f>
        <v>#REF!</v>
      </c>
      <c r="E15" s="5" t="s">
        <v>26</v>
      </c>
      <c r="G15" s="10">
        <f>IF(AD4=1,0,10)</f>
        <v>10</v>
      </c>
    </row>
    <row r="16" spans="1:30" ht="16.5" thickTop="1" thickBot="1" x14ac:dyDescent="0.3">
      <c r="A16" s="5" t="s">
        <v>77</v>
      </c>
      <c r="C16" s="7" t="e">
        <f>VLOOKUP(AD1,Rådata!#REF!,5)</f>
        <v>#REF!</v>
      </c>
      <c r="E16" s="5" t="s">
        <v>44</v>
      </c>
      <c r="G16" s="36">
        <f>IF(AD4=1,0,10%)</f>
        <v>0.1</v>
      </c>
      <c r="J16" s="28"/>
    </row>
    <row r="17" spans="1:9" ht="16.5" thickTop="1" thickBot="1" x14ac:dyDescent="0.3">
      <c r="A17" s="5" t="s">
        <v>106</v>
      </c>
      <c r="C17" s="7" t="e">
        <f>VLOOKUP(AD1,Rådata!#REF!,6)</f>
        <v>#REF!</v>
      </c>
    </row>
    <row r="18" spans="1:9" ht="15.75" thickTop="1" x14ac:dyDescent="0.25">
      <c r="E18" s="5" t="s">
        <v>208</v>
      </c>
    </row>
    <row r="19" spans="1:9" ht="16.5" customHeight="1" x14ac:dyDescent="0.25">
      <c r="A19" s="6" t="s">
        <v>126</v>
      </c>
      <c r="E19" s="5" t="s">
        <v>209</v>
      </c>
    </row>
    <row r="20" spans="1:9" ht="15.75" thickBot="1" x14ac:dyDescent="0.3"/>
    <row r="21" spans="1:9" ht="16.5" thickTop="1" thickBot="1" x14ac:dyDescent="0.3">
      <c r="E21" s="5" t="s">
        <v>210</v>
      </c>
      <c r="G21" s="10">
        <f>IF(AD6=1,0,VLOOKUP($AD$5,Rådata!#REF!,4))</f>
        <v>0</v>
      </c>
      <c r="I21" s="28"/>
    </row>
    <row r="22" spans="1:9" ht="16.5" thickTop="1" thickBot="1" x14ac:dyDescent="0.3">
      <c r="A22" s="5" t="e">
        <f>VLOOKUP(AD2,Rådata!#REF!,3)</f>
        <v>#REF!</v>
      </c>
      <c r="C22" s="7">
        <v>10</v>
      </c>
      <c r="E22" s="5" t="s">
        <v>211</v>
      </c>
      <c r="G22" s="10">
        <f>IF(AD6=1,0,VLOOKUP($AD$5,Rådata!#REF!,5))</f>
        <v>0</v>
      </c>
      <c r="I22" s="29"/>
    </row>
    <row r="23" spans="1:9" ht="16.5" thickTop="1" thickBot="1" x14ac:dyDescent="0.3">
      <c r="A23" s="38" t="e">
        <f>VLOOKUP(AD2,Rådata!#REF!,4)</f>
        <v>#REF!</v>
      </c>
      <c r="C23" s="17">
        <v>10</v>
      </c>
      <c r="E23" s="5" t="s">
        <v>212</v>
      </c>
      <c r="G23" s="10">
        <f>IF(AD6=1,0,VLOOKUP($AD$5,Rådata!#REF!,6))</f>
        <v>0</v>
      </c>
      <c r="I23" s="28"/>
    </row>
    <row r="24" spans="1:9" ht="16.5" thickTop="1" thickBot="1" x14ac:dyDescent="0.3">
      <c r="E24" s="5" t="s">
        <v>25</v>
      </c>
      <c r="G24" s="36">
        <f>IF(AD6=1,0,8%)</f>
        <v>0</v>
      </c>
    </row>
    <row r="25" spans="1:9" ht="16.5" thickTop="1" thickBot="1" x14ac:dyDescent="0.3">
      <c r="E25" s="5" t="s">
        <v>26</v>
      </c>
      <c r="G25" s="10">
        <f>IF(AD6=1,0,10)</f>
        <v>0</v>
      </c>
    </row>
    <row r="26" spans="1:9" ht="16.5" thickTop="1" thickBot="1" x14ac:dyDescent="0.3">
      <c r="E26" s="5" t="s">
        <v>44</v>
      </c>
      <c r="G26" s="36">
        <f>IF(AD6=1,0,10%)</f>
        <v>0</v>
      </c>
    </row>
    <row r="27" spans="1:9" ht="15.75" thickTop="1" x14ac:dyDescent="0.25"/>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2" r:id="rId4" name="Drop Down 2">
              <controlPr defaultSize="0" autoLine="0" autoPict="0">
                <anchor moveWithCells="1">
                  <from>
                    <xdr:col>0</xdr:col>
                    <xdr:colOff>28575</xdr:colOff>
                    <xdr:row>11</xdr:row>
                    <xdr:rowOff>104775</xdr:rowOff>
                  </from>
                  <to>
                    <xdr:col>0</xdr:col>
                    <xdr:colOff>1943100</xdr:colOff>
                    <xdr:row>12</xdr:row>
                    <xdr:rowOff>95250</xdr:rowOff>
                  </to>
                </anchor>
              </controlPr>
            </control>
          </mc:Choice>
        </mc:AlternateContent>
        <mc:AlternateContent xmlns:mc="http://schemas.openxmlformats.org/markup-compatibility/2006">
          <mc:Choice Requires="x14">
            <control shapeId="30725" r:id="rId5" name="Drop Down 5">
              <controlPr defaultSize="0" autoLine="0" autoPict="0">
                <anchor moveWithCells="1">
                  <from>
                    <xdr:col>0</xdr:col>
                    <xdr:colOff>57150</xdr:colOff>
                    <xdr:row>19</xdr:row>
                    <xdr:rowOff>85725</xdr:rowOff>
                  </from>
                  <to>
                    <xdr:col>0</xdr:col>
                    <xdr:colOff>1924050</xdr:colOff>
                    <xdr:row>20</xdr:row>
                    <xdr:rowOff>85725</xdr:rowOff>
                  </to>
                </anchor>
              </controlPr>
            </control>
          </mc:Choice>
        </mc:AlternateContent>
        <mc:AlternateContent xmlns:mc="http://schemas.openxmlformats.org/markup-compatibility/2006">
          <mc:Choice Requires="x14">
            <control shapeId="30726" r:id="rId6" name="Button 6">
              <controlPr defaultSize="0" print="0" autoFill="0" autoPict="0" macro="[0]!GåTilResultaterGylle">
                <anchor moveWithCells="1" sizeWithCells="1">
                  <from>
                    <xdr:col>4</xdr:col>
                    <xdr:colOff>9525</xdr:colOff>
                    <xdr:row>27</xdr:row>
                    <xdr:rowOff>114300</xdr:rowOff>
                  </from>
                  <to>
                    <xdr:col>6</xdr:col>
                    <xdr:colOff>381000</xdr:colOff>
                    <xdr:row>29</xdr:row>
                    <xdr:rowOff>85725</xdr:rowOff>
                  </to>
                </anchor>
              </controlPr>
            </control>
          </mc:Choice>
        </mc:AlternateContent>
        <mc:AlternateContent xmlns:mc="http://schemas.openxmlformats.org/markup-compatibility/2006">
          <mc:Choice Requires="x14">
            <control shapeId="30727" r:id="rId7" name="Button 7">
              <controlPr defaultSize="0" print="0" autoFill="0" autoPict="0" macro="[0]!TilbageTilHovedmenuFraGylle">
                <anchor moveWithCells="1" sizeWithCells="1">
                  <from>
                    <xdr:col>4</xdr:col>
                    <xdr:colOff>19050</xdr:colOff>
                    <xdr:row>29</xdr:row>
                    <xdr:rowOff>152400</xdr:rowOff>
                  </from>
                  <to>
                    <xdr:col>6</xdr:col>
                    <xdr:colOff>390525</xdr:colOff>
                    <xdr:row>31</xdr:row>
                    <xdr:rowOff>123825</xdr:rowOff>
                  </to>
                </anchor>
              </controlPr>
            </control>
          </mc:Choice>
        </mc:AlternateContent>
        <mc:AlternateContent xmlns:mc="http://schemas.openxmlformats.org/markup-compatibility/2006">
          <mc:Choice Requires="x14">
            <control shapeId="30730" r:id="rId8" name="Drop Down 10">
              <controlPr defaultSize="0" autoLine="0" autoPict="0">
                <anchor moveWithCells="1">
                  <from>
                    <xdr:col>5</xdr:col>
                    <xdr:colOff>352425</xdr:colOff>
                    <xdr:row>7</xdr:row>
                    <xdr:rowOff>0</xdr:rowOff>
                  </from>
                  <to>
                    <xdr:col>6</xdr:col>
                    <xdr:colOff>28575</xdr:colOff>
                    <xdr:row>7</xdr:row>
                    <xdr:rowOff>200025</xdr:rowOff>
                  </to>
                </anchor>
              </controlPr>
            </control>
          </mc:Choice>
        </mc:AlternateContent>
        <mc:AlternateContent xmlns:mc="http://schemas.openxmlformats.org/markup-compatibility/2006">
          <mc:Choice Requires="x14">
            <control shapeId="30731" r:id="rId9" name="Drop Down 11">
              <controlPr defaultSize="0" autoLine="0" autoPict="0">
                <anchor moveWithCells="1">
                  <from>
                    <xdr:col>5</xdr:col>
                    <xdr:colOff>352425</xdr:colOff>
                    <xdr:row>8</xdr:row>
                    <xdr:rowOff>28575</xdr:rowOff>
                  </from>
                  <to>
                    <xdr:col>6</xdr:col>
                    <xdr:colOff>28575</xdr:colOff>
                    <xdr:row>9</xdr:row>
                    <xdr:rowOff>19050</xdr:rowOff>
                  </to>
                </anchor>
              </controlPr>
            </control>
          </mc:Choice>
        </mc:AlternateContent>
        <mc:AlternateContent xmlns:mc="http://schemas.openxmlformats.org/markup-compatibility/2006">
          <mc:Choice Requires="x14">
            <control shapeId="30732" r:id="rId10" name="Drop Down 12">
              <controlPr defaultSize="0" autoLine="0" autoPict="0">
                <anchor moveWithCells="1">
                  <from>
                    <xdr:col>5</xdr:col>
                    <xdr:colOff>352425</xdr:colOff>
                    <xdr:row>17</xdr:row>
                    <xdr:rowOff>0</xdr:rowOff>
                  </from>
                  <to>
                    <xdr:col>6</xdr:col>
                    <xdr:colOff>28575</xdr:colOff>
                    <xdr:row>18</xdr:row>
                    <xdr:rowOff>0</xdr:rowOff>
                  </to>
                </anchor>
              </controlPr>
            </control>
          </mc:Choice>
        </mc:AlternateContent>
        <mc:AlternateContent xmlns:mc="http://schemas.openxmlformats.org/markup-compatibility/2006">
          <mc:Choice Requires="x14">
            <control shapeId="30733" r:id="rId11" name="Drop Down 13">
              <controlPr defaultSize="0" autoLine="0" autoPict="0">
                <anchor moveWithCells="1">
                  <from>
                    <xdr:col>5</xdr:col>
                    <xdr:colOff>352425</xdr:colOff>
                    <xdr:row>18</xdr:row>
                    <xdr:rowOff>28575</xdr:rowOff>
                  </from>
                  <to>
                    <xdr:col>6</xdr:col>
                    <xdr:colOff>28575</xdr:colOff>
                    <xdr:row>19</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tabColor theme="5" tint="0.59999389629810485"/>
  </sheetPr>
  <dimension ref="A1:AD28"/>
  <sheetViews>
    <sheetView workbookViewId="0">
      <selection activeCell="H31" sqref="H31"/>
    </sheetView>
  </sheetViews>
  <sheetFormatPr defaultRowHeight="15" x14ac:dyDescent="0.25"/>
  <cols>
    <col min="1" max="1" width="27.140625" style="5" customWidth="1"/>
    <col min="2" max="2" width="9.140625" style="5"/>
    <col min="3" max="3" width="9.7109375" style="5" bestFit="1" customWidth="1"/>
    <col min="4" max="4" width="9.140625" style="5"/>
    <col min="5" max="5" width="40.85546875" style="5" customWidth="1"/>
    <col min="6" max="6" width="9.140625" style="5"/>
    <col min="7" max="7" width="11.85546875" style="5" bestFit="1" customWidth="1"/>
    <col min="8" max="8" width="9.140625" style="5"/>
    <col min="9" max="9" width="35.28515625" style="5" bestFit="1" customWidth="1"/>
    <col min="10" max="10" width="9.140625" style="5"/>
    <col min="11" max="11" width="9.7109375" style="5" bestFit="1" customWidth="1"/>
    <col min="12" max="28" width="9.140625" style="5"/>
    <col min="29" max="29" width="22.28515625" style="5" bestFit="1" customWidth="1"/>
    <col min="30" max="16384" width="9.140625" style="5"/>
  </cols>
  <sheetData>
    <row r="1" spans="1:30" ht="21" x14ac:dyDescent="0.35">
      <c r="A1" s="27" t="s">
        <v>167</v>
      </c>
      <c r="AC1" s="5" t="s">
        <v>41</v>
      </c>
      <c r="AD1" s="5" t="b">
        <v>1</v>
      </c>
    </row>
    <row r="2" spans="1:30" x14ac:dyDescent="0.25">
      <c r="AC2" s="5" t="s">
        <v>221</v>
      </c>
      <c r="AD2" s="5">
        <v>2</v>
      </c>
    </row>
    <row r="3" spans="1:30" ht="15.75" thickBot="1" x14ac:dyDescent="0.3">
      <c r="A3" s="6" t="s">
        <v>13</v>
      </c>
      <c r="E3" s="6" t="s">
        <v>187</v>
      </c>
      <c r="I3" s="6" t="s">
        <v>140</v>
      </c>
      <c r="AC3" s="5" t="s">
        <v>222</v>
      </c>
      <c r="AD3" s="5">
        <v>1</v>
      </c>
    </row>
    <row r="4" spans="1:30" ht="16.5" thickTop="1" thickBot="1" x14ac:dyDescent="0.3">
      <c r="A4" s="5" t="s">
        <v>132</v>
      </c>
      <c r="C4" s="10">
        <v>4000</v>
      </c>
      <c r="E4" s="5" t="s">
        <v>220</v>
      </c>
      <c r="G4" s="44">
        <f>(C9*9/12)/C10</f>
        <v>3000</v>
      </c>
      <c r="AC4" s="5" t="s">
        <v>214</v>
      </c>
      <c r="AD4" s="5">
        <v>2</v>
      </c>
    </row>
    <row r="5" spans="1:30" ht="16.5" thickTop="1" thickBot="1" x14ac:dyDescent="0.3">
      <c r="A5" s="5" t="s">
        <v>142</v>
      </c>
      <c r="C5" s="7">
        <v>0.7</v>
      </c>
      <c r="E5" s="5" t="s">
        <v>218</v>
      </c>
      <c r="G5" s="7">
        <v>1000</v>
      </c>
      <c r="AC5" s="5" t="s">
        <v>215</v>
      </c>
      <c r="AD5" s="5">
        <v>2</v>
      </c>
    </row>
    <row r="6" spans="1:30" ht="16.5" thickTop="1" thickBot="1" x14ac:dyDescent="0.3">
      <c r="A6" s="5" t="s">
        <v>14</v>
      </c>
      <c r="C6" s="36">
        <v>0.55000000000000004</v>
      </c>
      <c r="E6" s="5" t="s">
        <v>219</v>
      </c>
      <c r="G6" s="44">
        <f>G4-G5</f>
        <v>2000</v>
      </c>
      <c r="I6" s="9" t="s">
        <v>42</v>
      </c>
      <c r="K6" s="19">
        <f>IF(AD1=TRUE,5500000,"-")</f>
        <v>5500000</v>
      </c>
      <c r="AC6" s="5" t="s">
        <v>216</v>
      </c>
      <c r="AD6" s="5">
        <v>1</v>
      </c>
    </row>
    <row r="7" spans="1:30" ht="16.5" thickTop="1" thickBot="1" x14ac:dyDescent="0.3">
      <c r="A7" s="5" t="s">
        <v>121</v>
      </c>
      <c r="C7" s="36">
        <v>0.85</v>
      </c>
      <c r="I7" s="5" t="s">
        <v>25</v>
      </c>
      <c r="K7" s="20">
        <f>IF(AD1=TRUE,5.5%,"-")</f>
        <v>5.5E-2</v>
      </c>
      <c r="AC7" s="5" t="s">
        <v>215</v>
      </c>
      <c r="AD7" s="5">
        <v>2</v>
      </c>
    </row>
    <row r="8" spans="1:30" ht="16.5" thickTop="1" thickBot="1" x14ac:dyDescent="0.3">
      <c r="A8" s="5" t="s">
        <v>122</v>
      </c>
      <c r="C8" s="7">
        <f>IF(AD1=TRUE,Forudsætninger!V30,Forudsætninger!V29)</f>
        <v>336</v>
      </c>
      <c r="E8" s="5" t="s">
        <v>208</v>
      </c>
      <c r="I8" s="5" t="s">
        <v>44</v>
      </c>
      <c r="K8" s="21">
        <f>IF(AD1=TRUE,10%,"-")</f>
        <v>0.1</v>
      </c>
    </row>
    <row r="9" spans="1:30" ht="16.5" thickTop="1" thickBot="1" x14ac:dyDescent="0.3">
      <c r="A9" s="5" t="s">
        <v>184</v>
      </c>
      <c r="C9" s="10">
        <v>4000</v>
      </c>
      <c r="E9" s="5" t="s">
        <v>209</v>
      </c>
      <c r="I9" s="5" t="s">
        <v>26</v>
      </c>
      <c r="K9" s="19">
        <f>IF(AD1=TRUE,10,"-")</f>
        <v>10</v>
      </c>
    </row>
    <row r="10" spans="1:30" ht="16.5" thickTop="1" thickBot="1" x14ac:dyDescent="0.3">
      <c r="A10" s="5" t="s">
        <v>143</v>
      </c>
      <c r="C10" s="7">
        <v>1</v>
      </c>
      <c r="I10" s="5" t="s">
        <v>43</v>
      </c>
      <c r="K10" s="19">
        <f>IF(AD1=TRUE,10000,"-")</f>
        <v>10000</v>
      </c>
    </row>
    <row r="11" spans="1:30" ht="16.5" thickTop="1" thickBot="1" x14ac:dyDescent="0.3">
      <c r="E11" s="5" t="s">
        <v>210</v>
      </c>
      <c r="G11" s="10" t="e">
        <f>IF(AD5=1,0,VLOOKUP($AD$4,Rådata!#REF!,4))</f>
        <v>#REF!</v>
      </c>
      <c r="I11" s="5" t="s">
        <v>45</v>
      </c>
      <c r="K11" s="19">
        <f>IF(AD1=TRUE,-40,"-")</f>
        <v>-40</v>
      </c>
    </row>
    <row r="12" spans="1:30" ht="16.5" thickTop="1" thickBot="1" x14ac:dyDescent="0.3">
      <c r="E12" s="5" t="s">
        <v>211</v>
      </c>
      <c r="G12" s="10" t="e">
        <f>IF(AD5=1,0,VLOOKUP($AD$4,Rådata!#REF!,5))</f>
        <v>#REF!</v>
      </c>
      <c r="I12" s="5" t="s">
        <v>46</v>
      </c>
      <c r="K12" s="19">
        <f>IF(AD1=TRUE,-22,"-")</f>
        <v>-22</v>
      </c>
    </row>
    <row r="13" spans="1:30" ht="16.5" thickTop="1" thickBot="1" x14ac:dyDescent="0.3">
      <c r="A13" s="6" t="s">
        <v>133</v>
      </c>
      <c r="E13" s="5" t="s">
        <v>212</v>
      </c>
      <c r="G13" s="10" t="e">
        <f>IF(AD5=1,0,VLOOKUP($AD$4,Rådata!#REF!,6))</f>
        <v>#REF!</v>
      </c>
    </row>
    <row r="14" spans="1:30" ht="16.5" thickTop="1" thickBot="1" x14ac:dyDescent="0.3">
      <c r="E14" s="5" t="s">
        <v>25</v>
      </c>
      <c r="G14" s="36">
        <f>IF(AD5=1,0,8%)</f>
        <v>0.08</v>
      </c>
    </row>
    <row r="15" spans="1:30" ht="16.5" thickTop="1" thickBot="1" x14ac:dyDescent="0.3">
      <c r="E15" s="5" t="s">
        <v>26</v>
      </c>
      <c r="G15" s="10">
        <f>IF(AD5=1,0,10)</f>
        <v>10</v>
      </c>
    </row>
    <row r="16" spans="1:30" ht="16.5" thickTop="1" thickBot="1" x14ac:dyDescent="0.3">
      <c r="A16" s="5" t="s">
        <v>100</v>
      </c>
      <c r="C16" s="7">
        <v>25</v>
      </c>
      <c r="E16" s="5" t="s">
        <v>44</v>
      </c>
      <c r="G16" s="36">
        <f>IF(AD5=1,0,10%)</f>
        <v>0.1</v>
      </c>
    </row>
    <row r="17" spans="1:7" ht="16.5" thickTop="1" thickBot="1" x14ac:dyDescent="0.3">
      <c r="A17" s="5" t="e">
        <f>VLOOKUP(AD2,Rådata!#REF!,3)</f>
        <v>#REF!</v>
      </c>
      <c r="C17" s="7" t="e">
        <f>VLOOKUP(AD2,Rådata!#REF!,5)</f>
        <v>#REF!</v>
      </c>
    </row>
    <row r="18" spans="1:7" ht="16.5" thickTop="1" thickBot="1" x14ac:dyDescent="0.3">
      <c r="A18" s="5" t="s">
        <v>77</v>
      </c>
      <c r="C18" s="7" t="e">
        <f>VLOOKUP(AD2,Rådata!#REF!,4)</f>
        <v>#REF!</v>
      </c>
      <c r="E18" s="5" t="s">
        <v>208</v>
      </c>
    </row>
    <row r="19" spans="1:7" ht="16.5" thickTop="1" thickBot="1" x14ac:dyDescent="0.3">
      <c r="A19" s="5" t="s">
        <v>134</v>
      </c>
      <c r="C19" s="7" t="e">
        <f>Forudsætninger!#REF!</f>
        <v>#REF!</v>
      </c>
      <c r="E19" s="5" t="s">
        <v>209</v>
      </c>
    </row>
    <row r="20" spans="1:7" ht="16.5" thickTop="1" thickBot="1" x14ac:dyDescent="0.3"/>
    <row r="21" spans="1:7" ht="16.5" thickTop="1" thickBot="1" x14ac:dyDescent="0.3">
      <c r="A21" s="6" t="s">
        <v>141</v>
      </c>
      <c r="E21" s="5" t="s">
        <v>210</v>
      </c>
      <c r="G21" s="10" t="e">
        <f>IF(AD7=1,0,VLOOKUP($AD$6,Rådata!#REF!,4))</f>
        <v>#REF!</v>
      </c>
    </row>
    <row r="22" spans="1:7" ht="16.5" thickTop="1" thickBot="1" x14ac:dyDescent="0.3">
      <c r="E22" s="5" t="s">
        <v>211</v>
      </c>
      <c r="G22" s="10" t="e">
        <f>IF(AD7=1,0,VLOOKUP($AD$6,Rådata!#REF!,5))</f>
        <v>#REF!</v>
      </c>
    </row>
    <row r="23" spans="1:7" ht="16.5" thickTop="1" thickBot="1" x14ac:dyDescent="0.3">
      <c r="E23" s="5" t="s">
        <v>212</v>
      </c>
      <c r="G23" s="10" t="e">
        <f>IF(AD7=1,0,VLOOKUP($AD$6,Rådata!#REF!,6))</f>
        <v>#REF!</v>
      </c>
    </row>
    <row r="24" spans="1:7" ht="16.5" thickTop="1" thickBot="1" x14ac:dyDescent="0.3">
      <c r="A24" s="5" t="s">
        <v>100</v>
      </c>
      <c r="C24" s="7">
        <v>20</v>
      </c>
      <c r="E24" s="5" t="s">
        <v>25</v>
      </c>
      <c r="G24" s="36">
        <f>IF(AD7=1,0,8%)</f>
        <v>0.08</v>
      </c>
    </row>
    <row r="25" spans="1:7" ht="16.5" thickTop="1" thickBot="1" x14ac:dyDescent="0.3">
      <c r="A25" s="5" t="e">
        <f>VLOOKUP(AD3,Rådata!#REF!,3)</f>
        <v>#REF!</v>
      </c>
      <c r="C25" s="7" t="e">
        <f>VLOOKUP(AD3,Rådata!#REF!,4)</f>
        <v>#REF!</v>
      </c>
      <c r="E25" s="5" t="s">
        <v>26</v>
      </c>
      <c r="G25" s="10">
        <f>IF(AD7=1,0,10)</f>
        <v>10</v>
      </c>
    </row>
    <row r="26" spans="1:7" ht="16.5" thickTop="1" thickBot="1" x14ac:dyDescent="0.3">
      <c r="A26" s="5" t="s">
        <v>77</v>
      </c>
      <c r="C26" s="7" t="e">
        <f>VLOOKUP(AD3,Rådata!#REF!,5)</f>
        <v>#REF!</v>
      </c>
      <c r="E26" s="5" t="s">
        <v>44</v>
      </c>
      <c r="G26" s="36">
        <f>IF(AD7=1,0,10%)</f>
        <v>0.1</v>
      </c>
    </row>
    <row r="27" spans="1:7" ht="16.5" thickTop="1" thickBot="1" x14ac:dyDescent="0.3">
      <c r="A27" s="5" t="s">
        <v>106</v>
      </c>
      <c r="C27" s="7" t="e">
        <f>VLOOKUP(AD3,Rådata!#REF!,6)</f>
        <v>#REF!</v>
      </c>
    </row>
    <row r="28" spans="1:7" ht="15.75" thickTop="1" x14ac:dyDescent="0.25"/>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6865" r:id="rId3" name="Check Box 1">
              <controlPr defaultSize="0" autoFill="0" autoLine="0" autoPict="0">
                <anchor moveWithCells="1">
                  <from>
                    <xdr:col>8</xdr:col>
                    <xdr:colOff>1028700</xdr:colOff>
                    <xdr:row>3</xdr:row>
                    <xdr:rowOff>104775</xdr:rowOff>
                  </from>
                  <to>
                    <xdr:col>10</xdr:col>
                    <xdr:colOff>180975</xdr:colOff>
                    <xdr:row>4</xdr:row>
                    <xdr:rowOff>76200</xdr:rowOff>
                  </to>
                </anchor>
              </controlPr>
            </control>
          </mc:Choice>
        </mc:AlternateContent>
        <mc:AlternateContent xmlns:mc="http://schemas.openxmlformats.org/markup-compatibility/2006">
          <mc:Choice Requires="x14">
            <control shapeId="36866" r:id="rId4" name="Drop Down 2">
              <controlPr defaultSize="0" autoLine="0" autoPict="0">
                <anchor moveWithCells="1">
                  <from>
                    <xdr:col>0</xdr:col>
                    <xdr:colOff>47625</xdr:colOff>
                    <xdr:row>13</xdr:row>
                    <xdr:rowOff>47625</xdr:rowOff>
                  </from>
                  <to>
                    <xdr:col>1</xdr:col>
                    <xdr:colOff>304800</xdr:colOff>
                    <xdr:row>14</xdr:row>
                    <xdr:rowOff>38100</xdr:rowOff>
                  </to>
                </anchor>
              </controlPr>
            </control>
          </mc:Choice>
        </mc:AlternateContent>
        <mc:AlternateContent xmlns:mc="http://schemas.openxmlformats.org/markup-compatibility/2006">
          <mc:Choice Requires="x14">
            <control shapeId="36869" r:id="rId5" name="Drop Down 5">
              <controlPr defaultSize="0" autoLine="0" autoPict="0">
                <anchor moveWithCells="1">
                  <from>
                    <xdr:col>0</xdr:col>
                    <xdr:colOff>38100</xdr:colOff>
                    <xdr:row>21</xdr:row>
                    <xdr:rowOff>76200</xdr:rowOff>
                  </from>
                  <to>
                    <xdr:col>1</xdr:col>
                    <xdr:colOff>295275</xdr:colOff>
                    <xdr:row>22</xdr:row>
                    <xdr:rowOff>66675</xdr:rowOff>
                  </to>
                </anchor>
              </controlPr>
            </control>
          </mc:Choice>
        </mc:AlternateContent>
        <mc:AlternateContent xmlns:mc="http://schemas.openxmlformats.org/markup-compatibility/2006">
          <mc:Choice Requires="x14">
            <control shapeId="36870" r:id="rId6" name="Button 6">
              <controlPr defaultSize="0" print="0" autoFill="0" autoPict="0" macro="[0]!GåTilResultaterDybstrøelse">
                <anchor moveWithCells="1" sizeWithCells="1">
                  <from>
                    <xdr:col>7</xdr:col>
                    <xdr:colOff>590550</xdr:colOff>
                    <xdr:row>14</xdr:row>
                    <xdr:rowOff>19050</xdr:rowOff>
                  </from>
                  <to>
                    <xdr:col>10</xdr:col>
                    <xdr:colOff>619125</xdr:colOff>
                    <xdr:row>15</xdr:row>
                    <xdr:rowOff>180975</xdr:rowOff>
                  </to>
                </anchor>
              </controlPr>
            </control>
          </mc:Choice>
        </mc:AlternateContent>
        <mc:AlternateContent xmlns:mc="http://schemas.openxmlformats.org/markup-compatibility/2006">
          <mc:Choice Requires="x14">
            <control shapeId="36871" r:id="rId7" name="Button 7">
              <controlPr defaultSize="0" print="0" autoFill="0" autoPict="0" macro="[0]!TilbageTilhovedmenuDybstrøelse">
                <anchor moveWithCells="1" sizeWithCells="1">
                  <from>
                    <xdr:col>7</xdr:col>
                    <xdr:colOff>590550</xdr:colOff>
                    <xdr:row>16</xdr:row>
                    <xdr:rowOff>104775</xdr:rowOff>
                  </from>
                  <to>
                    <xdr:col>10</xdr:col>
                    <xdr:colOff>619125</xdr:colOff>
                    <xdr:row>18</xdr:row>
                    <xdr:rowOff>76200</xdr:rowOff>
                  </to>
                </anchor>
              </controlPr>
            </control>
          </mc:Choice>
        </mc:AlternateContent>
        <mc:AlternateContent xmlns:mc="http://schemas.openxmlformats.org/markup-compatibility/2006">
          <mc:Choice Requires="x14">
            <control shapeId="36872" r:id="rId8" name="Drop Down 8">
              <controlPr defaultSize="0" autoLine="0" autoPict="0">
                <anchor moveWithCells="1">
                  <from>
                    <xdr:col>5</xdr:col>
                    <xdr:colOff>352425</xdr:colOff>
                    <xdr:row>7</xdr:row>
                    <xdr:rowOff>0</xdr:rowOff>
                  </from>
                  <to>
                    <xdr:col>6</xdr:col>
                    <xdr:colOff>285750</xdr:colOff>
                    <xdr:row>7</xdr:row>
                    <xdr:rowOff>200025</xdr:rowOff>
                  </to>
                </anchor>
              </controlPr>
            </control>
          </mc:Choice>
        </mc:AlternateContent>
        <mc:AlternateContent xmlns:mc="http://schemas.openxmlformats.org/markup-compatibility/2006">
          <mc:Choice Requires="x14">
            <control shapeId="36873" r:id="rId9" name="Drop Down 9">
              <controlPr defaultSize="0" autoLine="0" autoPict="0">
                <anchor moveWithCells="1">
                  <from>
                    <xdr:col>5</xdr:col>
                    <xdr:colOff>352425</xdr:colOff>
                    <xdr:row>8</xdr:row>
                    <xdr:rowOff>57150</xdr:rowOff>
                  </from>
                  <to>
                    <xdr:col>6</xdr:col>
                    <xdr:colOff>285750</xdr:colOff>
                    <xdr:row>9</xdr:row>
                    <xdr:rowOff>47625</xdr:rowOff>
                  </to>
                </anchor>
              </controlPr>
            </control>
          </mc:Choice>
        </mc:AlternateContent>
        <mc:AlternateContent xmlns:mc="http://schemas.openxmlformats.org/markup-compatibility/2006">
          <mc:Choice Requires="x14">
            <control shapeId="36874" r:id="rId10" name="Drop Down 10">
              <controlPr defaultSize="0" autoLine="0" autoPict="0">
                <anchor moveWithCells="1">
                  <from>
                    <xdr:col>5</xdr:col>
                    <xdr:colOff>352425</xdr:colOff>
                    <xdr:row>17</xdr:row>
                    <xdr:rowOff>0</xdr:rowOff>
                  </from>
                  <to>
                    <xdr:col>6</xdr:col>
                    <xdr:colOff>285750</xdr:colOff>
                    <xdr:row>17</xdr:row>
                    <xdr:rowOff>200025</xdr:rowOff>
                  </to>
                </anchor>
              </controlPr>
            </control>
          </mc:Choice>
        </mc:AlternateContent>
        <mc:AlternateContent xmlns:mc="http://schemas.openxmlformats.org/markup-compatibility/2006">
          <mc:Choice Requires="x14">
            <control shapeId="36875" r:id="rId11" name="Drop Down 11">
              <controlPr defaultSize="0" autoLine="0" autoPict="0">
                <anchor moveWithCells="1">
                  <from>
                    <xdr:col>5</xdr:col>
                    <xdr:colOff>352425</xdr:colOff>
                    <xdr:row>18</xdr:row>
                    <xdr:rowOff>28575</xdr:rowOff>
                  </from>
                  <to>
                    <xdr:col>6</xdr:col>
                    <xdr:colOff>285750</xdr:colOff>
                    <xdr:row>19</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theme="6" tint="0.59999389629810485"/>
  </sheetPr>
  <dimension ref="A1:E19"/>
  <sheetViews>
    <sheetView workbookViewId="0">
      <selection activeCell="D20" sqref="D20"/>
    </sheetView>
  </sheetViews>
  <sheetFormatPr defaultRowHeight="15" x14ac:dyDescent="0.25"/>
  <cols>
    <col min="1" max="1" width="26.42578125" style="5" bestFit="1" customWidth="1"/>
    <col min="2" max="2" width="21" style="5" bestFit="1" customWidth="1"/>
    <col min="3" max="16384" width="9.140625" style="5"/>
  </cols>
  <sheetData>
    <row r="1" spans="1:5" ht="21" x14ac:dyDescent="0.35">
      <c r="A1" s="27" t="s">
        <v>127</v>
      </c>
    </row>
    <row r="3" spans="1:5" x14ac:dyDescent="0.25">
      <c r="A3" s="16" t="s">
        <v>16</v>
      </c>
      <c r="B3" s="16" t="s">
        <v>128</v>
      </c>
    </row>
    <row r="5" spans="1:5" x14ac:dyDescent="0.25">
      <c r="A5" s="16" t="s">
        <v>28</v>
      </c>
      <c r="B5" s="18" t="e">
        <f>IF('Indtastningsark - gylle'!AD2=1,4*(Forudsætninger!#REF!*'Indtastningsark - gylle'!C15/60)+('Indtastningsark - gylle'!C14*'Indtastningsark - gylle'!C15/('Indtastningsark - gylle'!C17*'Indtastningsark - gylle'!C16))+('Indtastningsark - gylle'!C22*'Indtastningsark - gylle'!C15/('Indtastningsark - gylle'!C17*'Indtastningsark - gylle'!C16)),4*(Forudsætninger!#REF!*'Indtastningsark - gylle'!C15/60)+('Indtastningsark - gylle'!C14*'Indtastningsark - gylle'!C15/('Indtastningsark - gylle'!C17*'Indtastningsark - gylle'!C16))+('Indtastningsark - gylle'!C22*'Indtastningsark - gylle'!C15/('Indtastningsark - gylle'!C17*'Indtastningsark - gylle'!C16))+('Indtastningsark - gylle'!C23*'Indtastningsark - gylle'!C15/('Indtastningsark - gylle'!C17*'Indtastningsark - gylle'!C16)))</f>
        <v>#REF!</v>
      </c>
    </row>
    <row r="6" spans="1:5" x14ac:dyDescent="0.25">
      <c r="A6" s="16" t="s">
        <v>27</v>
      </c>
      <c r="B6" s="18" t="e">
        <f>IF(AND('Indtastningsark - gylle'!AD3=1,'Indtastningsark - gylle'!AD5=1),0,IF(AND('Indtastningsark - gylle'!AD3&gt;1,'Indtastningsark - gylle'!AD5&gt;1),((PMT('Indtastningsark - gylle'!G14,'Indtastningsark - gylle'!G15,VLOOKUP('Indtastningsark - gylle'!AD4,Rådata!#REF!,2)*('Indtastningsark - gylle'!G11+'Indtastningsark - gylle'!G12+'Indtastningsark - gylle'!G13))+(VLOOKUP('Indtastningsark - gylle'!AD4,Rådata!#REF!,2)*('Indtastningsark - gylle'!G11+'Indtastningsark - gylle'!G12+'Indtastningsark - gylle'!G13))*-1*'Indtastningsark - gylle'!G16)/'Indtastningsark - gylle'!C9)+((PMT('Indtastningsark - gylle'!G24,'Indtastningsark - gylle'!G25,VLOOKUP('Indtastningsark - gylle'!AD6,Rådata!#REF!,2)*('Indtastningsark - gylle'!G21+'Indtastningsark - gylle'!G22+'Indtastningsark - gylle'!G23))+(VLOOKUP('Indtastningsark - gylle'!AD6,Rådata!#REF!,2)*('Indtastningsark - gylle'!G21+'Indtastningsark - gylle'!G22+'Indtastningsark - gylle'!G23))*-1*'Indtastningsark - gylle'!G26)/'Indtastningsark - gylle'!C9),IF(AND('Indtastningsark - gylle'!AD3&gt;1,'Indtastningsark - gylle'!AD5=1),((PMT('Indtastningsark - gylle'!G14,'Indtastningsark - gylle'!G15,VLOOKUP('Indtastningsark - gylle'!AD4,Rådata!#REF!,2)*('Indtastningsark - gylle'!G11+'Indtastningsark - gylle'!G12+'Indtastningsark - gylle'!G13))+(VLOOKUP('Indtastningsark - gylle'!AD4,Rådata!#REF!,2)*('Indtastningsark - gylle'!G11+'Indtastningsark - gylle'!G12+'Indtastningsark - gylle'!G13))*-1*'Indtastningsark - gylle'!G16)/'Indtastningsark - gylle'!C9),IF(AND('Indtastningsark - gylle'!AD3=1,'Indtastningsark - gylle'!AD5&gt;1),((PMT('Indtastningsark - gylle'!G24,'Indtastningsark - gylle'!G25,VLOOKUP('Indtastningsark - gylle'!AD6,Rådata!#REF!,2)*('Indtastningsark - gylle'!G21+'Indtastningsark - gylle'!G22+'Indtastningsark - gylle'!G23))+(VLOOKUP('Indtastningsark - gylle'!AD6,Rådata!#REF!,2)*('Indtastningsark - gylle'!G21+'Indtastningsark - gylle'!G22+'Indtastningsark - gylle'!G23))*-1*'Indtastningsark - gylle'!G26)/'Indtastningsark - gylle'!C9)))))</f>
        <v>#REF!</v>
      </c>
    </row>
    <row r="7" spans="1:5" x14ac:dyDescent="0.25">
      <c r="A7" s="16" t="s">
        <v>50</v>
      </c>
      <c r="B7" s="18" t="e">
        <f>B5+B6</f>
        <v>#REF!</v>
      </c>
    </row>
    <row r="8" spans="1:5" x14ac:dyDescent="0.25">
      <c r="A8" s="16" t="s">
        <v>164</v>
      </c>
      <c r="B8" s="18" t="e">
        <f>B7*'Indtastningsark - gylle'!C4</f>
        <v>#REF!</v>
      </c>
    </row>
    <row r="9" spans="1:5" x14ac:dyDescent="0.25">
      <c r="E9" s="28"/>
    </row>
    <row r="11" spans="1:5" x14ac:dyDescent="0.25">
      <c r="A11" s="16" t="s">
        <v>29</v>
      </c>
      <c r="B11" s="18">
        <f>'Indtastningsark - gylle'!C7*'Indtastningsark - gylle'!C6*'Indtastningsark - gylle'!C5*Forudsætninger!V14</f>
        <v>79.600000000000009</v>
      </c>
    </row>
    <row r="12" spans="1:5" x14ac:dyDescent="0.25">
      <c r="A12" s="16" t="s">
        <v>30</v>
      </c>
      <c r="B12" s="18">
        <f>B11*Forudsætninger!V15</f>
        <v>31.840000000000003</v>
      </c>
    </row>
    <row r="13" spans="1:5" x14ac:dyDescent="0.25">
      <c r="A13" s="16" t="s">
        <v>31</v>
      </c>
      <c r="B13" s="18">
        <f>B11*Forudsætninger!V16</f>
        <v>39.800000000000004</v>
      </c>
    </row>
    <row r="14" spans="1:5" x14ac:dyDescent="0.25">
      <c r="A14" s="16" t="s">
        <v>33</v>
      </c>
      <c r="B14" s="18">
        <f>B12*Forudsætninger!V17</f>
        <v>35.342400000000005</v>
      </c>
    </row>
    <row r="15" spans="1:5" x14ac:dyDescent="0.25">
      <c r="A15" s="16" t="s">
        <v>32</v>
      </c>
      <c r="B15" s="18">
        <f>B13*Forudsætninger!V18</f>
        <v>9.9500000000000011</v>
      </c>
    </row>
    <row r="16" spans="1:5" x14ac:dyDescent="0.25">
      <c r="A16" s="16" t="s">
        <v>51</v>
      </c>
      <c r="B16" s="18">
        <f>B14+B15</f>
        <v>45.292400000000008</v>
      </c>
    </row>
    <row r="17" spans="1:2" x14ac:dyDescent="0.25">
      <c r="A17" s="16" t="s">
        <v>40</v>
      </c>
      <c r="B17" s="18">
        <f>B16*'Indtastningsark - gylle'!C4</f>
        <v>45292.400000000009</v>
      </c>
    </row>
    <row r="19" spans="1:2" x14ac:dyDescent="0.25">
      <c r="A19" s="16" t="s">
        <v>102</v>
      </c>
      <c r="B19" s="35" t="e">
        <f>B17+B8</f>
        <v>#REF!</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4817" r:id="rId3" name="Button 1">
              <controlPr defaultSize="0" print="0" autoFill="0" autoPict="0" macro="[0]!TilbageTilIndtastningGylle">
                <anchor moveWithCells="1" sizeWithCells="1">
                  <from>
                    <xdr:col>0</xdr:col>
                    <xdr:colOff>142875</xdr:colOff>
                    <xdr:row>19</xdr:row>
                    <xdr:rowOff>152400</xdr:rowOff>
                  </from>
                  <to>
                    <xdr:col>1</xdr:col>
                    <xdr:colOff>1238250</xdr:colOff>
                    <xdr:row>21</xdr:row>
                    <xdr:rowOff>114300</xdr:rowOff>
                  </to>
                </anchor>
              </controlPr>
            </control>
          </mc:Choice>
        </mc:AlternateContent>
        <mc:AlternateContent xmlns:mc="http://schemas.openxmlformats.org/markup-compatibility/2006">
          <mc:Choice Requires="x14">
            <control shapeId="34818" r:id="rId4" name="Button 2">
              <controlPr defaultSize="0" print="0" autoFill="0" autoPict="0" macro="[0]!TilbageTilHovedmenuFraGylleResultater">
                <anchor moveWithCells="1" sizeWithCells="1">
                  <from>
                    <xdr:col>0</xdr:col>
                    <xdr:colOff>142875</xdr:colOff>
                    <xdr:row>22</xdr:row>
                    <xdr:rowOff>38100</xdr:rowOff>
                  </from>
                  <to>
                    <xdr:col>1</xdr:col>
                    <xdr:colOff>1238250</xdr:colOff>
                    <xdr:row>24</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tabColor theme="6" tint="0.59999389629810485"/>
  </sheetPr>
  <dimension ref="A1:B19"/>
  <sheetViews>
    <sheetView topLeftCell="A19" workbookViewId="0">
      <selection activeCell="A25" sqref="A25"/>
    </sheetView>
  </sheetViews>
  <sheetFormatPr defaultRowHeight="15" x14ac:dyDescent="0.25"/>
  <cols>
    <col min="1" max="1" width="34.28515625" style="5" customWidth="1"/>
    <col min="2" max="2" width="14.85546875" style="5" customWidth="1"/>
    <col min="3" max="16384" width="9.140625" style="5"/>
  </cols>
  <sheetData>
    <row r="1" spans="1:2" ht="21" x14ac:dyDescent="0.35">
      <c r="A1" s="27" t="s">
        <v>137</v>
      </c>
    </row>
    <row r="3" spans="1:2" x14ac:dyDescent="0.25">
      <c r="A3" s="16" t="s">
        <v>16</v>
      </c>
      <c r="B3" s="16" t="s">
        <v>138</v>
      </c>
    </row>
    <row r="5" spans="1:2" x14ac:dyDescent="0.25">
      <c r="A5" s="16" t="s">
        <v>28</v>
      </c>
      <c r="B5" s="18" t="e">
        <f>(Forudsætninger!#REF!*('Indtastningsark - dybstrøelse'!C17+'Indtastningsark - dybstrøelse'!C19)/60)+('Indtastningsark - dybstrøelse'!C16*'Indtastningsark - dybstrøelse'!C17/(Forudsætninger!V7*'Indtastningsark - dybstrøelse'!C18))+2*(Forudsætninger!#REF!*'Indtastningsark - dybstrøelse'!C17/60)+(Forudsætninger!#REF!*'Indtastningsark - dybstrøelse'!C25/60)+('Indtastningsark - dybstrøelse'!C24*'Indtastningsark - dybstrøelse'!C25/('Indtastningsark - dybstrøelse'!C27*'Indtastningsark - dybstrøelse'!C26))</f>
        <v>#REF!</v>
      </c>
    </row>
    <row r="6" spans="1:2" x14ac:dyDescent="0.25">
      <c r="A6" s="16" t="s">
        <v>27</v>
      </c>
      <c r="B6" s="18" t="e">
        <f>IF(AND('Indtastningsark - dybstrøelse'!AD4=1,'Indtastningsark - dybstrøelse'!AD6=1),0,IF(AND('Indtastningsark - dybstrøelse'!AD4&gt;1,'Indtastningsark - dybstrøelse'!AD6&gt;1),((PMT('Indtastningsark - dybstrøelse'!G14,'Indtastningsark - dybstrøelse'!G15,VLOOKUP('Indtastningsark - dybstrøelse'!AD5,Rådata!#REF!,2)*('Indtastningsark - dybstrøelse'!G11+'Indtastningsark - dybstrøelse'!G12+'Indtastningsark - dybstrøelse'!G13))+(VLOOKUP('Indtastningsark - dybstrøelse'!AD5,Rådata!#REF!,2)*('Indtastningsark - dybstrøelse'!G11+'Indtastningsark - dybstrøelse'!G12+'Indtastningsark - dybstrøelse'!G13))*-1*'Indtastningsark - dybstrøelse'!G16)/'Indtastningsark - dybstrøelse'!C9)+((PMT('Indtastningsark - dybstrøelse'!G24,'Indtastningsark - dybstrøelse'!G25,VLOOKUP('Indtastningsark - dybstrøelse'!AD7,Rådata!#REF!,2)*('Indtastningsark - dybstrøelse'!G21+'Indtastningsark - dybstrøelse'!G22+'Indtastningsark - dybstrøelse'!G23))+(VLOOKUP('Indtastningsark - dybstrøelse'!AD7,Rådata!#REF!,2)*('Indtastningsark - dybstrøelse'!G21+'Indtastningsark - dybstrøelse'!G22+'Indtastningsark - dybstrøelse'!G23))*-1*'Indtastningsark - dybstrøelse'!G26)/'Indtastningsark - dybstrøelse'!C9),IF(AND('Indtastningsark - dybstrøelse'!AD4&gt;1,'Indtastningsark - dybstrøelse'!AD6=1),((PMT('Indtastningsark - dybstrøelse'!G14,'Indtastningsark - dybstrøelse'!G15,VLOOKUP('Indtastningsark - dybstrøelse'!AD5,Rådata!#REF!,2)*('Indtastningsark - dybstrøelse'!G11+'Indtastningsark - dybstrøelse'!G12+'Indtastningsark - dybstrøelse'!G13))+(VLOOKUP('Indtastningsark - dybstrøelse'!AD5,Rådata!#REF!,2)*('Indtastningsark - dybstrøelse'!G11+'Indtastningsark - dybstrøelse'!G12+'Indtastningsark - dybstrøelse'!G13))*-1*'Indtastningsark - dybstrøelse'!G16)/'Indtastningsark - dybstrøelse'!C9),IF(AND('Indtastningsark - dybstrøelse'!AD4=1,'Indtastningsark - dybstrøelse'!AD6&gt;1),((PMT('Indtastningsark - dybstrøelse'!G24,'Indtastningsark - dybstrøelse'!G25,VLOOKUP('Indtastningsark - dybstrøelse'!AD7,Rådata!#REF!,2)*('Indtastningsark - dybstrøelse'!G21+'Indtastningsark - dybstrøelse'!G22+'Indtastningsark - dybstrøelse'!G23))+(VLOOKUP('Indtastningsark - dybstrøelse'!AD7,Rådata!#REF!,2)*('Indtastningsark - dybstrøelse'!G21+'Indtastningsark - dybstrøelse'!G22+'Indtastningsark - dybstrøelse'!G23))*-1*'Indtastningsark - dybstrøelse'!G26)/'Indtastningsark - dybstrøelse'!C9)))))</f>
        <v>#REF!</v>
      </c>
    </row>
    <row r="7" spans="1:2" x14ac:dyDescent="0.25">
      <c r="A7" s="16" t="s">
        <v>139</v>
      </c>
      <c r="B7" s="18">
        <f>IF('Indtastningsark - dybstrøelse'!AD1=TRUE,((PMT('Indtastningsark - dybstrøelse'!K7,'Indtastningsark - dybstrøelse'!K9,CEILING('Indtastningsark - dybstrøelse'!C4/'Indtastningsark - dybstrøelse'!K10,1)*'Indtastningsark - dybstrøelse'!K6)+(CEILING('Indtastningsark - dybstrøelse'!C4/'Indtastningsark - dybstrøelse'!K10,1)*'Indtastningsark - dybstrøelse'!K6*-1*'Indtastningsark - dybstrøelse'!K8))/'Indtastningsark - dybstrøelse'!C4)+'Indtastningsark - dybstrøelse'!K11+'Indtastningsark - dybstrøelse'!K12,0)</f>
        <v>-381.9181819671723</v>
      </c>
    </row>
    <row r="8" spans="1:2" x14ac:dyDescent="0.25">
      <c r="A8" s="16" t="s">
        <v>50</v>
      </c>
      <c r="B8" s="18" t="e">
        <f>B5+B6+B7</f>
        <v>#REF!</v>
      </c>
    </row>
    <row r="9" spans="1:2" x14ac:dyDescent="0.25">
      <c r="A9" s="16" t="s">
        <v>164</v>
      </c>
      <c r="B9" s="18" t="e">
        <f>B8*'Indtastningsark - dybstrøelse'!C4</f>
        <v>#REF!</v>
      </c>
    </row>
    <row r="11" spans="1:2" x14ac:dyDescent="0.25">
      <c r="A11" s="16" t="s">
        <v>29</v>
      </c>
      <c r="B11" s="18">
        <f>'Indtastningsark - dybstrøelse'!C8*'Indtastningsark - dybstrøelse'!C7*'Indtastningsark - dybstrøelse'!C6*Forudsætninger!V14</f>
        <v>1570.7999999999997</v>
      </c>
    </row>
    <row r="12" spans="1:2" x14ac:dyDescent="0.25">
      <c r="A12" s="16" t="s">
        <v>30</v>
      </c>
      <c r="B12" s="18">
        <f>B11*Forudsætninger!V15</f>
        <v>628.31999999999994</v>
      </c>
    </row>
    <row r="13" spans="1:2" x14ac:dyDescent="0.25">
      <c r="A13" s="16" t="s">
        <v>31</v>
      </c>
      <c r="B13" s="18">
        <f>B11*Forudsætninger!V16</f>
        <v>785.39999999999986</v>
      </c>
    </row>
    <row r="14" spans="1:2" x14ac:dyDescent="0.25">
      <c r="A14" s="16" t="s">
        <v>33</v>
      </c>
      <c r="B14" s="18">
        <f>B12*Forudsætninger!V17</f>
        <v>697.43520000000001</v>
      </c>
    </row>
    <row r="15" spans="1:2" x14ac:dyDescent="0.25">
      <c r="A15" s="16" t="s">
        <v>32</v>
      </c>
      <c r="B15" s="18">
        <f>B13*Forudsætninger!V18</f>
        <v>196.34999999999997</v>
      </c>
    </row>
    <row r="16" spans="1:2" x14ac:dyDescent="0.25">
      <c r="A16" s="16" t="s">
        <v>51</v>
      </c>
      <c r="B16" s="18">
        <f>B14+B15</f>
        <v>893.78520000000003</v>
      </c>
    </row>
    <row r="17" spans="1:2" x14ac:dyDescent="0.25">
      <c r="A17" s="16" t="s">
        <v>165</v>
      </c>
      <c r="B17" s="18">
        <f>B16*'Indtastningsark - dybstrøelse'!C4</f>
        <v>3575140.8000000003</v>
      </c>
    </row>
    <row r="19" spans="1:2" x14ac:dyDescent="0.25">
      <c r="A19" s="16" t="s">
        <v>166</v>
      </c>
      <c r="B19" s="35" t="e">
        <f>B17+B9</f>
        <v>#REF!</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5057" r:id="rId3" name="Button 1">
              <controlPr defaultSize="0" print="0" autoFill="0" autoPict="0" macro="[0]!TilbageTilIndtastningDybstrøelse">
                <anchor moveWithCells="1" sizeWithCells="1">
                  <from>
                    <xdr:col>0</xdr:col>
                    <xdr:colOff>28575</xdr:colOff>
                    <xdr:row>19</xdr:row>
                    <xdr:rowOff>114300</xdr:rowOff>
                  </from>
                  <to>
                    <xdr:col>1</xdr:col>
                    <xdr:colOff>790575</xdr:colOff>
                    <xdr:row>21</xdr:row>
                    <xdr:rowOff>57150</xdr:rowOff>
                  </to>
                </anchor>
              </controlPr>
            </control>
          </mc:Choice>
        </mc:AlternateContent>
        <mc:AlternateContent xmlns:mc="http://schemas.openxmlformats.org/markup-compatibility/2006">
          <mc:Choice Requires="x14">
            <control shapeId="45058" r:id="rId4" name="Button 2">
              <controlPr defaultSize="0" print="0" autoFill="0" autoPict="0" macro="[0]!TilbageTilHovedmenuFraDybstrøelseResultater">
                <anchor moveWithCells="1" sizeWithCells="1">
                  <from>
                    <xdr:col>0</xdr:col>
                    <xdr:colOff>19050</xdr:colOff>
                    <xdr:row>22</xdr:row>
                    <xdr:rowOff>9525</xdr:rowOff>
                  </from>
                  <to>
                    <xdr:col>1</xdr:col>
                    <xdr:colOff>800100</xdr:colOff>
                    <xdr:row>23</xdr:row>
                    <xdr:rowOff>161925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G11"/>
  <sheetViews>
    <sheetView workbookViewId="0">
      <selection activeCell="E8" sqref="E8:E10"/>
    </sheetView>
  </sheetViews>
  <sheetFormatPr defaultRowHeight="15" x14ac:dyDescent="0.25"/>
  <cols>
    <col min="1" max="1" width="13.42578125" bestFit="1" customWidth="1"/>
    <col min="2" max="2" width="12.85546875" bestFit="1" customWidth="1"/>
    <col min="3" max="3" width="10.140625" bestFit="1" customWidth="1"/>
    <col min="4" max="4" width="20" bestFit="1" customWidth="1"/>
    <col min="5" max="5" width="37.140625" bestFit="1" customWidth="1"/>
    <col min="6" max="6" width="15.7109375" bestFit="1" customWidth="1"/>
    <col min="7" max="7" width="37.7109375" bestFit="1" customWidth="1"/>
  </cols>
  <sheetData>
    <row r="1" spans="1:7" ht="18.75" x14ac:dyDescent="0.3">
      <c r="A1" s="30" t="s">
        <v>88</v>
      </c>
    </row>
    <row r="4" spans="1:7" x14ac:dyDescent="0.25">
      <c r="A4" s="31" t="s">
        <v>96</v>
      </c>
      <c r="B4" s="31" t="s">
        <v>91</v>
      </c>
      <c r="C4" s="31" t="s">
        <v>92</v>
      </c>
      <c r="D4" s="31" t="s">
        <v>94</v>
      </c>
      <c r="E4" s="31" t="s">
        <v>95</v>
      </c>
      <c r="F4" s="31" t="s">
        <v>93</v>
      </c>
      <c r="G4" s="33" t="s">
        <v>97</v>
      </c>
    </row>
    <row r="5" spans="1:7" x14ac:dyDescent="0.25">
      <c r="A5" s="418" t="s">
        <v>12</v>
      </c>
      <c r="B5" s="419">
        <v>280</v>
      </c>
      <c r="C5" s="31">
        <v>12</v>
      </c>
      <c r="D5" s="31">
        <v>63</v>
      </c>
      <c r="E5" s="419">
        <f>AVERAGE(D5:D7)</f>
        <v>58</v>
      </c>
      <c r="F5" s="31">
        <v>34</v>
      </c>
      <c r="G5" s="420">
        <f>AVERAGE(F5:F7)</f>
        <v>31.333333333333332</v>
      </c>
    </row>
    <row r="6" spans="1:7" x14ac:dyDescent="0.25">
      <c r="A6" s="418"/>
      <c r="B6" s="419"/>
      <c r="C6" s="31">
        <v>22</v>
      </c>
      <c r="D6" s="31">
        <v>56</v>
      </c>
      <c r="E6" s="419"/>
      <c r="F6" s="31">
        <v>31</v>
      </c>
      <c r="G6" s="420"/>
    </row>
    <row r="7" spans="1:7" x14ac:dyDescent="0.25">
      <c r="A7" s="418"/>
      <c r="B7" s="419"/>
      <c r="C7" s="31">
        <v>44</v>
      </c>
      <c r="D7" s="31">
        <v>55</v>
      </c>
      <c r="E7" s="419"/>
      <c r="F7" s="31">
        <v>29</v>
      </c>
      <c r="G7" s="420"/>
    </row>
    <row r="8" spans="1:7" x14ac:dyDescent="0.25">
      <c r="A8" s="418" t="s">
        <v>89</v>
      </c>
      <c r="B8" s="419">
        <v>700</v>
      </c>
      <c r="C8" s="31">
        <v>12</v>
      </c>
      <c r="D8" s="31">
        <v>25</v>
      </c>
      <c r="E8" s="419">
        <f>AVERAGE(D8:D10)</f>
        <v>23</v>
      </c>
      <c r="F8" s="31">
        <v>14</v>
      </c>
      <c r="G8" s="420">
        <f>AVERAGE(F8:F10)</f>
        <v>12.333333333333334</v>
      </c>
    </row>
    <row r="9" spans="1:7" x14ac:dyDescent="0.25">
      <c r="A9" s="418"/>
      <c r="B9" s="419"/>
      <c r="C9" s="31">
        <v>22</v>
      </c>
      <c r="D9" s="31">
        <v>22</v>
      </c>
      <c r="E9" s="419"/>
      <c r="F9" s="31">
        <v>12</v>
      </c>
      <c r="G9" s="420"/>
    </row>
    <row r="10" spans="1:7" x14ac:dyDescent="0.25">
      <c r="A10" s="418"/>
      <c r="B10" s="419"/>
      <c r="C10" s="31">
        <v>44</v>
      </c>
      <c r="D10" s="31">
        <v>22</v>
      </c>
      <c r="E10" s="419"/>
      <c r="F10" s="31">
        <v>11</v>
      </c>
      <c r="G10" s="420"/>
    </row>
    <row r="11" spans="1:7" x14ac:dyDescent="0.25">
      <c r="A11" s="31" t="s">
        <v>90</v>
      </c>
      <c r="B11" s="32">
        <v>550</v>
      </c>
      <c r="C11" s="31">
        <v>24</v>
      </c>
      <c r="D11" s="31">
        <v>9</v>
      </c>
      <c r="E11" s="32">
        <f>D11</f>
        <v>9</v>
      </c>
      <c r="F11" s="31">
        <v>7</v>
      </c>
      <c r="G11" s="32">
        <f>F11</f>
        <v>7</v>
      </c>
    </row>
  </sheetData>
  <mergeCells count="8">
    <mergeCell ref="G5:G7"/>
    <mergeCell ref="G8:G10"/>
    <mergeCell ref="A5:A7"/>
    <mergeCell ref="A8:A10"/>
    <mergeCell ref="B5:B7"/>
    <mergeCell ref="B8:B10"/>
    <mergeCell ref="E5:E7"/>
    <mergeCell ref="E8: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theme="5" tint="0.59999389629810485"/>
  </sheetPr>
  <dimension ref="A1:AN63"/>
  <sheetViews>
    <sheetView workbookViewId="0">
      <selection activeCell="C4" sqref="C4"/>
    </sheetView>
  </sheetViews>
  <sheetFormatPr defaultRowHeight="15" x14ac:dyDescent="0.25"/>
  <cols>
    <col min="1" max="1" width="43.28515625" style="5" customWidth="1"/>
    <col min="2" max="2" width="7.42578125" style="5" customWidth="1"/>
    <col min="3" max="3" width="8.140625" style="5" bestFit="1" customWidth="1"/>
    <col min="4" max="4" width="11" style="43" bestFit="1" customWidth="1"/>
    <col min="5" max="5" width="9.140625" style="5"/>
    <col min="6" max="6" width="22.42578125" style="5" customWidth="1"/>
    <col min="7" max="7" width="9.140625" style="5"/>
    <col min="8" max="8" width="31" style="5" customWidth="1"/>
    <col min="9" max="9" width="10.140625" style="5" customWidth="1"/>
    <col min="10" max="10" width="4.140625" style="43" customWidth="1"/>
    <col min="11" max="11" width="11.5703125" style="5" customWidth="1"/>
    <col min="12" max="12" width="4.28515625" style="5" customWidth="1"/>
    <col min="13" max="13" width="9.28515625" style="5" customWidth="1"/>
    <col min="14" max="14" width="3.5703125" style="5" customWidth="1"/>
    <col min="15" max="15" width="9.42578125" style="5" customWidth="1"/>
    <col min="16" max="16" width="4.28515625" style="5" customWidth="1"/>
    <col min="17" max="17" width="14.42578125" style="5" customWidth="1"/>
    <col min="18" max="18" width="9.5703125" style="5" customWidth="1"/>
    <col min="19" max="19" width="4.28515625" style="5" customWidth="1"/>
    <col min="20" max="20" width="9.140625" style="5"/>
    <col min="21" max="21" width="3.28515625" style="5" customWidth="1"/>
    <col min="22" max="24" width="9.140625" style="5"/>
    <col min="25" max="25" width="46" style="5" bestFit="1" customWidth="1"/>
    <col min="26" max="26" width="8.140625" style="5" customWidth="1"/>
    <col min="27" max="27" width="10.7109375" style="5" bestFit="1" customWidth="1"/>
    <col min="28" max="28" width="8.28515625" style="43" bestFit="1" customWidth="1"/>
    <col min="29" max="29" width="7" style="5" customWidth="1"/>
    <col min="30" max="30" width="9.140625" style="5"/>
    <col min="31" max="31" width="5.42578125" style="5" customWidth="1"/>
    <col min="32" max="32" width="9.140625" style="5"/>
    <col min="33" max="33" width="5" style="5" customWidth="1"/>
    <col min="34" max="34" width="11.7109375" style="5" customWidth="1"/>
    <col min="35" max="35" width="9.140625" style="5"/>
    <col min="36" max="36" width="5.5703125" style="5" customWidth="1"/>
    <col min="37" max="37" width="9.140625" style="5"/>
    <col min="38" max="38" width="3.28515625" style="5" customWidth="1"/>
    <col min="39" max="16384" width="9.140625" style="5"/>
  </cols>
  <sheetData>
    <row r="1" spans="1:40" ht="21" x14ac:dyDescent="0.35">
      <c r="A1" s="4" t="s">
        <v>79</v>
      </c>
      <c r="Y1" s="177"/>
      <c r="Z1" s="158"/>
      <c r="AA1" s="158"/>
      <c r="AB1" s="185"/>
      <c r="AJ1" s="5" t="s">
        <v>277</v>
      </c>
      <c r="AL1" s="5">
        <v>2</v>
      </c>
      <c r="AN1" s="5">
        <v>1</v>
      </c>
    </row>
    <row r="2" spans="1:40" x14ac:dyDescent="0.25">
      <c r="Y2" s="181"/>
      <c r="Z2" s="160"/>
      <c r="AA2" s="160"/>
      <c r="AB2" s="186"/>
      <c r="AL2" s="5">
        <v>2</v>
      </c>
      <c r="AM2" s="5">
        <v>1</v>
      </c>
      <c r="AN2" s="5">
        <v>1</v>
      </c>
    </row>
    <row r="3" spans="1:40" x14ac:dyDescent="0.25">
      <c r="A3" s="6" t="s">
        <v>252</v>
      </c>
      <c r="H3" s="6" t="s">
        <v>337</v>
      </c>
      <c r="Q3" s="90"/>
      <c r="Y3" s="184" t="s">
        <v>246</v>
      </c>
      <c r="Z3" s="160"/>
      <c r="AA3" s="152"/>
      <c r="AB3" s="187"/>
      <c r="AL3" s="5">
        <v>2</v>
      </c>
      <c r="AN3" s="5">
        <v>1</v>
      </c>
    </row>
    <row r="4" spans="1:40" x14ac:dyDescent="0.25">
      <c r="A4" s="5" t="s">
        <v>254</v>
      </c>
      <c r="C4" s="93">
        <f>MARK_STØRRELSE*UDBYTTE_PR_HA</f>
        <v>1352</v>
      </c>
      <c r="D4" s="113" t="s">
        <v>240</v>
      </c>
      <c r="H4" s="78" t="s">
        <v>254</v>
      </c>
      <c r="I4" s="145">
        <f>HøstUdbytte</f>
        <v>1352</v>
      </c>
      <c r="J4" s="43" t="s">
        <v>240</v>
      </c>
      <c r="Y4" s="181"/>
      <c r="Z4" s="160"/>
      <c r="AA4" s="152"/>
      <c r="AB4" s="187"/>
      <c r="AL4" s="5">
        <v>2</v>
      </c>
      <c r="AN4" s="5">
        <v>1</v>
      </c>
    </row>
    <row r="5" spans="1:40" ht="17.25" x14ac:dyDescent="0.25">
      <c r="A5" s="9" t="s">
        <v>345</v>
      </c>
      <c r="C5" s="102">
        <v>400</v>
      </c>
      <c r="D5" s="111" t="s">
        <v>343</v>
      </c>
      <c r="H5" s="78" t="s">
        <v>341</v>
      </c>
      <c r="I5" s="145">
        <f>I4/Densitet_bigballe</f>
        <v>8450</v>
      </c>
      <c r="J5" s="43" t="s">
        <v>330</v>
      </c>
      <c r="Y5" s="180" t="s">
        <v>245</v>
      </c>
      <c r="Z5" s="162"/>
      <c r="AA5" s="200">
        <v>17</v>
      </c>
      <c r="AB5" s="188" t="s">
        <v>206</v>
      </c>
      <c r="AN5" s="5">
        <v>4</v>
      </c>
    </row>
    <row r="6" spans="1:40" ht="17.25" x14ac:dyDescent="0.25">
      <c r="A6" s="5" t="s">
        <v>287</v>
      </c>
      <c r="C6" s="101">
        <v>3.38</v>
      </c>
      <c r="D6" s="112" t="s">
        <v>344</v>
      </c>
      <c r="H6" s="78" t="s">
        <v>338</v>
      </c>
      <c r="I6" s="145">
        <f>I4/DensBr</f>
        <v>3004.4444444444443</v>
      </c>
      <c r="J6" s="43" t="s">
        <v>330</v>
      </c>
      <c r="Y6" s="181"/>
      <c r="Z6" s="160"/>
      <c r="AA6" s="152"/>
      <c r="AB6" s="187"/>
      <c r="AL6" s="5">
        <v>1</v>
      </c>
      <c r="AN6" s="5">
        <v>1</v>
      </c>
    </row>
    <row r="7" spans="1:40" x14ac:dyDescent="0.25">
      <c r="A7" s="5" t="s">
        <v>349</v>
      </c>
      <c r="C7" s="103">
        <v>0.85</v>
      </c>
      <c r="D7" s="114"/>
      <c r="Q7" s="78"/>
      <c r="Y7" s="180" t="s">
        <v>108</v>
      </c>
      <c r="Z7" s="189"/>
      <c r="AA7" s="152"/>
      <c r="AB7" s="187"/>
      <c r="AL7" s="5">
        <v>3</v>
      </c>
      <c r="AN7" s="5">
        <v>1</v>
      </c>
    </row>
    <row r="8" spans="1:40" x14ac:dyDescent="0.25">
      <c r="A8" s="5" t="s">
        <v>350</v>
      </c>
      <c r="C8" s="103">
        <v>0.95</v>
      </c>
      <c r="D8" s="114"/>
      <c r="H8" s="6" t="s">
        <v>331</v>
      </c>
      <c r="I8" s="409" t="s">
        <v>225</v>
      </c>
      <c r="J8" s="409"/>
      <c r="K8" s="409" t="s">
        <v>332</v>
      </c>
      <c r="L8" s="409"/>
      <c r="M8" s="408" t="s">
        <v>223</v>
      </c>
      <c r="N8" s="408"/>
      <c r="O8" s="68"/>
      <c r="P8" s="68"/>
      <c r="Q8" s="68"/>
      <c r="Y8" s="190" t="s">
        <v>70</v>
      </c>
      <c r="Z8" s="189"/>
      <c r="AA8" s="153" t="e">
        <f>Forudsætninger!#REF!</f>
        <v>#REF!</v>
      </c>
      <c r="AB8" s="188" t="s">
        <v>347</v>
      </c>
      <c r="AN8" s="5">
        <v>1</v>
      </c>
    </row>
    <row r="9" spans="1:40" ht="17.25" x14ac:dyDescent="0.25">
      <c r="D9" s="115"/>
      <c r="H9" s="5" t="s">
        <v>82</v>
      </c>
      <c r="I9" s="29" t="e">
        <f>Rådata!#REF!</f>
        <v>#REF!</v>
      </c>
      <c r="J9" s="203" t="s">
        <v>299</v>
      </c>
      <c r="K9" s="29" t="e">
        <f>Rådata!#REF!</f>
        <v>#REF!</v>
      </c>
      <c r="L9" s="29" t="s">
        <v>299</v>
      </c>
      <c r="M9" s="29" t="e">
        <f>Rådata!#REF!</f>
        <v>#REF!</v>
      </c>
      <c r="N9" s="5" t="s">
        <v>330</v>
      </c>
      <c r="Y9" s="190" t="s">
        <v>104</v>
      </c>
      <c r="Z9" s="189"/>
      <c r="AA9" s="153" t="e">
        <f>Forudsætninger!#REF!</f>
        <v>#REF!</v>
      </c>
      <c r="AB9" s="188" t="s">
        <v>324</v>
      </c>
      <c r="AN9" s="5">
        <v>1</v>
      </c>
    </row>
    <row r="10" spans="1:40" ht="17.25" x14ac:dyDescent="0.25">
      <c r="A10" s="6" t="s">
        <v>251</v>
      </c>
      <c r="D10" s="115"/>
      <c r="H10" s="5" t="s">
        <v>83</v>
      </c>
      <c r="I10" s="29" t="e">
        <f>Rådata!#REF!</f>
        <v>#REF!</v>
      </c>
      <c r="J10" s="203" t="s">
        <v>299</v>
      </c>
      <c r="K10" s="29" t="e">
        <f>Rådata!#REF!</f>
        <v>#REF!</v>
      </c>
      <c r="L10" s="29" t="s">
        <v>299</v>
      </c>
      <c r="M10" s="29" t="e">
        <f>Rådata!#REF!</f>
        <v>#REF!</v>
      </c>
      <c r="N10" s="5" t="s">
        <v>330</v>
      </c>
      <c r="Y10" s="190" t="s">
        <v>105</v>
      </c>
      <c r="Z10" s="189"/>
      <c r="AA10" s="154" t="e">
        <f>Forudsætninger!#REF!</f>
        <v>#REF!</v>
      </c>
      <c r="AB10" s="191" t="s">
        <v>324</v>
      </c>
      <c r="AN10" s="5">
        <v>4</v>
      </c>
    </row>
    <row r="11" spans="1:40" ht="18.75" x14ac:dyDescent="0.35">
      <c r="A11" s="64" t="s">
        <v>81</v>
      </c>
      <c r="C11" s="105">
        <f>MetanHvedehalm</f>
        <v>230</v>
      </c>
      <c r="D11" s="116" t="s">
        <v>358</v>
      </c>
      <c r="E11" s="22"/>
      <c r="H11" s="5" t="s">
        <v>339</v>
      </c>
      <c r="I11" s="29" t="e">
        <f>Rådata!#REF!</f>
        <v>#REF!</v>
      </c>
      <c r="J11" s="203" t="s">
        <v>299</v>
      </c>
      <c r="K11" s="29" t="e">
        <f>Rådata!#REF!</f>
        <v>#REF!</v>
      </c>
      <c r="L11" s="29" t="s">
        <v>299</v>
      </c>
      <c r="M11" s="29" t="e">
        <f>Rådata!#REF!</f>
        <v>#REF!</v>
      </c>
      <c r="N11" s="5" t="s">
        <v>330</v>
      </c>
      <c r="Y11" s="181"/>
      <c r="Z11" s="192"/>
      <c r="AA11" s="152"/>
      <c r="AB11" s="187"/>
      <c r="AN11" s="5">
        <v>1</v>
      </c>
    </row>
    <row r="12" spans="1:40" ht="18.75" x14ac:dyDescent="0.35">
      <c r="A12" s="64" t="s">
        <v>249</v>
      </c>
      <c r="C12" s="106">
        <f>Forudsætninger_Hvede!W16</f>
        <v>277</v>
      </c>
      <c r="D12" s="116" t="s">
        <v>358</v>
      </c>
      <c r="E12" s="22"/>
      <c r="H12" s="5" t="s">
        <v>84</v>
      </c>
      <c r="I12" s="29" t="e">
        <f>Rådata!#REF!</f>
        <v>#REF!</v>
      </c>
      <c r="J12" s="203" t="s">
        <v>299</v>
      </c>
      <c r="K12" s="29" t="e">
        <f>Rådata!#REF!</f>
        <v>#REF!</v>
      </c>
      <c r="L12" s="29" t="s">
        <v>299</v>
      </c>
      <c r="M12" s="29" t="e">
        <f>Rådata!#REF!</f>
        <v>#REF!</v>
      </c>
      <c r="N12" s="5" t="s">
        <v>330</v>
      </c>
      <c r="Y12" s="180" t="s">
        <v>247</v>
      </c>
      <c r="Z12" s="162"/>
      <c r="AA12" s="152"/>
      <c r="AB12" s="187"/>
      <c r="AN12" s="5">
        <v>1</v>
      </c>
    </row>
    <row r="13" spans="1:40" ht="18" x14ac:dyDescent="0.35">
      <c r="A13" s="64" t="s">
        <v>353</v>
      </c>
      <c r="C13" s="106">
        <f>MetanBr</f>
        <v>277</v>
      </c>
      <c r="D13" s="116" t="s">
        <v>358</v>
      </c>
      <c r="E13" s="22"/>
      <c r="K13" s="70"/>
      <c r="Y13" s="181" t="s">
        <v>372</v>
      </c>
      <c r="Z13" s="160"/>
      <c r="AA13" s="155">
        <f>BrPrisSamlet</f>
        <v>-4723000</v>
      </c>
      <c r="AB13" s="193" t="s">
        <v>299</v>
      </c>
      <c r="AN13" s="5">
        <v>4</v>
      </c>
    </row>
    <row r="14" spans="1:40" x14ac:dyDescent="0.25">
      <c r="D14" s="115"/>
      <c r="G14" s="128"/>
      <c r="H14" s="129"/>
      <c r="I14" s="129"/>
      <c r="J14" s="204"/>
      <c r="K14" s="130"/>
      <c r="L14" s="129"/>
      <c r="M14" s="129"/>
      <c r="N14" s="129"/>
      <c r="O14" s="129"/>
      <c r="P14" s="129"/>
      <c r="Q14" s="129"/>
      <c r="R14" s="129"/>
      <c r="S14" s="129"/>
      <c r="T14" s="129"/>
      <c r="U14" s="129"/>
      <c r="V14" s="131"/>
      <c r="Y14" s="181" t="s">
        <v>223</v>
      </c>
      <c r="Z14" s="160"/>
      <c r="AA14" s="155">
        <f>PresserKap</f>
        <v>10000</v>
      </c>
      <c r="AB14" s="193" t="s">
        <v>278</v>
      </c>
      <c r="AN14" s="5">
        <v>1</v>
      </c>
    </row>
    <row r="15" spans="1:40" x14ac:dyDescent="0.25">
      <c r="A15" s="6" t="s">
        <v>85</v>
      </c>
      <c r="D15" s="117"/>
      <c r="G15" s="132"/>
      <c r="H15" s="22"/>
      <c r="I15" s="22"/>
      <c r="J15" s="121"/>
      <c r="K15" s="22"/>
      <c r="L15" s="22"/>
      <c r="M15" s="22"/>
      <c r="N15" s="22"/>
      <c r="O15" s="22"/>
      <c r="P15" s="22"/>
      <c r="Q15" s="22"/>
      <c r="R15" s="22"/>
      <c r="S15" s="22"/>
      <c r="T15" s="22"/>
      <c r="U15" s="22"/>
      <c r="V15" s="133"/>
      <c r="Y15" s="181" t="s">
        <v>369</v>
      </c>
      <c r="Z15" s="160"/>
      <c r="AA15" s="155">
        <f>BrDriftTon+BrVedlige</f>
        <v>-76</v>
      </c>
      <c r="AB15" s="193" t="s">
        <v>346</v>
      </c>
      <c r="AN15" s="5">
        <v>1</v>
      </c>
    </row>
    <row r="16" spans="1:40" ht="17.25" x14ac:dyDescent="0.25">
      <c r="A16" s="5" t="s">
        <v>23</v>
      </c>
      <c r="C16" s="94">
        <v>0</v>
      </c>
      <c r="D16" s="118" t="s">
        <v>346</v>
      </c>
      <c r="G16" s="132"/>
      <c r="H16" s="134" t="s">
        <v>342</v>
      </c>
      <c r="I16" s="406" t="s">
        <v>223</v>
      </c>
      <c r="J16" s="406"/>
      <c r="K16" s="410" t="s">
        <v>333</v>
      </c>
      <c r="L16" s="410"/>
      <c r="M16" s="410" t="s">
        <v>334</v>
      </c>
      <c r="N16" s="410"/>
      <c r="O16" s="406" t="s">
        <v>335</v>
      </c>
      <c r="P16" s="406"/>
      <c r="Q16" s="135" t="s">
        <v>61</v>
      </c>
      <c r="R16" s="406" t="s">
        <v>374</v>
      </c>
      <c r="S16" s="406"/>
      <c r="T16" s="406" t="s">
        <v>340</v>
      </c>
      <c r="U16" s="406"/>
      <c r="V16" s="133"/>
      <c r="X16" s="22"/>
      <c r="Y16" s="181" t="s">
        <v>86</v>
      </c>
      <c r="Z16" s="160"/>
      <c r="AA16" s="155">
        <f>Br_Forsik</f>
        <v>-50000</v>
      </c>
      <c r="AB16" s="193" t="s">
        <v>363</v>
      </c>
      <c r="AN16" s="5">
        <v>1</v>
      </c>
    </row>
    <row r="17" spans="1:39" ht="17.25" x14ac:dyDescent="0.25">
      <c r="A17" s="5" t="s">
        <v>348</v>
      </c>
      <c r="C17" s="100">
        <f>Bigballepresning</f>
        <v>-145.45454545454544</v>
      </c>
      <c r="D17" s="118" t="s">
        <v>346</v>
      </c>
      <c r="G17" s="132"/>
      <c r="H17" s="22"/>
      <c r="I17" s="146" t="e">
        <f>VLOOKUP(AN1,Rådata!#REF!,6)</f>
        <v>#REF!</v>
      </c>
      <c r="J17" s="205" t="s">
        <v>330</v>
      </c>
      <c r="K17" s="149">
        <v>5000</v>
      </c>
      <c r="L17" s="143" t="s">
        <v>330</v>
      </c>
      <c r="M17" s="149">
        <v>0</v>
      </c>
      <c r="N17" s="143" t="s">
        <v>330</v>
      </c>
      <c r="O17" s="150">
        <f>K17+M17</f>
        <v>5000</v>
      </c>
      <c r="P17" s="143" t="s">
        <v>330</v>
      </c>
      <c r="Q17" s="136" t="e">
        <f>IF(O17&gt;I17,"Fejl",O17/I17)</f>
        <v>#REF!</v>
      </c>
      <c r="R17" s="24" t="e">
        <f>IF(O17&gt;0,VLOOKUP(AN1,Rådata!#REF!,4)/O17,0)</f>
        <v>#REF!</v>
      </c>
      <c r="S17" s="24" t="s">
        <v>299</v>
      </c>
      <c r="T17" s="109" t="e">
        <f>K17*R17</f>
        <v>#REF!</v>
      </c>
      <c r="U17" s="22" t="s">
        <v>299</v>
      </c>
      <c r="V17" s="133"/>
      <c r="Y17" s="181" t="s">
        <v>26</v>
      </c>
      <c r="Z17" s="160"/>
      <c r="AA17" s="155">
        <f>Br_Levetid</f>
        <v>10</v>
      </c>
      <c r="AB17" s="193" t="s">
        <v>364</v>
      </c>
    </row>
    <row r="18" spans="1:39" x14ac:dyDescent="0.25">
      <c r="D18" s="117"/>
      <c r="G18" s="132"/>
      <c r="H18" s="22"/>
      <c r="I18" s="143"/>
      <c r="J18" s="205"/>
      <c r="K18" s="143"/>
      <c r="L18" s="143"/>
      <c r="M18" s="146"/>
      <c r="N18" s="143"/>
      <c r="O18" s="143"/>
      <c r="P18" s="143"/>
      <c r="Q18" s="136"/>
      <c r="R18" s="24" t="str">
        <f>IF(I18&gt;0,VLOOKUP(#REF!,Rådata!#REF!,4)/O18,"")</f>
        <v/>
      </c>
      <c r="S18" s="24"/>
      <c r="T18" s="109"/>
      <c r="U18" s="22"/>
      <c r="V18" s="133"/>
      <c r="Y18" s="181"/>
      <c r="Z18" s="160"/>
      <c r="AA18" s="152"/>
      <c r="AB18" s="187"/>
    </row>
    <row r="19" spans="1:39" ht="17.25" x14ac:dyDescent="0.25">
      <c r="A19" s="6" t="s">
        <v>103</v>
      </c>
      <c r="D19" s="117"/>
      <c r="G19" s="132"/>
      <c r="H19" s="22"/>
      <c r="I19" s="143" t="e">
        <f>VLOOKUP(AN2,Rådata!#REF!,6)</f>
        <v>#REF!</v>
      </c>
      <c r="J19" s="205" t="s">
        <v>330</v>
      </c>
      <c r="K19" s="151">
        <v>3450</v>
      </c>
      <c r="L19" s="143" t="s">
        <v>330</v>
      </c>
      <c r="M19" s="149">
        <v>1000</v>
      </c>
      <c r="N19" s="143" t="s">
        <v>330</v>
      </c>
      <c r="O19" s="143">
        <f>K19+M19</f>
        <v>4450</v>
      </c>
      <c r="P19" s="143" t="s">
        <v>330</v>
      </c>
      <c r="Q19" s="136" t="e">
        <f>IF(O19&gt;I19,"Fejl",O19/I19)</f>
        <v>#REF!</v>
      </c>
      <c r="R19" s="24" t="e">
        <f>IF(O19&gt;0,VLOOKUP(AN2,Rådata!#REF!,4)/O19,0)</f>
        <v>#REF!</v>
      </c>
      <c r="S19" s="24" t="s">
        <v>299</v>
      </c>
      <c r="T19" s="109" t="e">
        <f>K19*R19</f>
        <v>#REF!</v>
      </c>
      <c r="U19" s="22" t="s">
        <v>299</v>
      </c>
      <c r="V19" s="133"/>
      <c r="Y19" s="180" t="s">
        <v>244</v>
      </c>
      <c r="Z19" s="194"/>
      <c r="AA19" s="152"/>
      <c r="AB19" s="187"/>
    </row>
    <row r="20" spans="1:39" x14ac:dyDescent="0.25">
      <c r="A20" s="5" t="s">
        <v>419</v>
      </c>
      <c r="C20" s="101">
        <v>0.5</v>
      </c>
      <c r="D20" s="119" t="s">
        <v>206</v>
      </c>
      <c r="G20" s="132"/>
      <c r="H20" s="22"/>
      <c r="I20" s="143"/>
      <c r="J20" s="205"/>
      <c r="K20" s="143"/>
      <c r="L20" s="143"/>
      <c r="M20" s="146"/>
      <c r="N20" s="143"/>
      <c r="O20" s="146"/>
      <c r="P20" s="146"/>
      <c r="Q20" s="136"/>
      <c r="R20" s="24"/>
      <c r="S20" s="24"/>
      <c r="T20" s="109"/>
      <c r="U20" s="22"/>
      <c r="V20" s="133"/>
      <c r="Y20" s="190" t="s">
        <v>100</v>
      </c>
      <c r="Z20" s="195"/>
      <c r="AA20" s="201">
        <v>50</v>
      </c>
      <c r="AB20" s="187" t="s">
        <v>206</v>
      </c>
    </row>
    <row r="21" spans="1:39" ht="17.25" x14ac:dyDescent="0.25">
      <c r="A21" s="5" t="s">
        <v>325</v>
      </c>
      <c r="C21" s="94" t="e">
        <f>F_Traktor_Vogn_1mand</f>
        <v>#REF!</v>
      </c>
      <c r="D21" s="118" t="s">
        <v>323</v>
      </c>
      <c r="G21" s="132"/>
      <c r="H21" s="22"/>
      <c r="I21" s="146" t="e">
        <f>VLOOKUP(AN3,Rådata!#REF!,6)</f>
        <v>#REF!</v>
      </c>
      <c r="J21" s="205" t="s">
        <v>330</v>
      </c>
      <c r="K21" s="151">
        <v>0</v>
      </c>
      <c r="L21" s="143" t="s">
        <v>330</v>
      </c>
      <c r="M21" s="149">
        <v>0</v>
      </c>
      <c r="N21" s="143" t="s">
        <v>330</v>
      </c>
      <c r="O21" s="143">
        <f>K21+M21</f>
        <v>0</v>
      </c>
      <c r="P21" s="143" t="s">
        <v>330</v>
      </c>
      <c r="Q21" s="136" t="e">
        <f>IF(O21&gt;I21,"Fejl",O21/I21)</f>
        <v>#REF!</v>
      </c>
      <c r="R21" s="24">
        <f>IF(O21&gt;0,VLOOKUP(AN3,Rådata!#REF!,4)/O21,0)</f>
        <v>0</v>
      </c>
      <c r="S21" s="24" t="s">
        <v>299</v>
      </c>
      <c r="T21" s="109">
        <f>K21*R21</f>
        <v>0</v>
      </c>
      <c r="U21" s="22" t="s">
        <v>299</v>
      </c>
      <c r="V21" s="133"/>
      <c r="Y21" s="190" t="e">
        <f>VLOOKUP(AL7,Rådata!#REF!,2)</f>
        <v>#REF!</v>
      </c>
      <c r="Z21" s="189"/>
      <c r="AA21" s="152" t="e">
        <f>VLOOKUP(AL7,Rådata!#REF!,3)</f>
        <v>#REF!</v>
      </c>
      <c r="AB21" s="187" t="s">
        <v>347</v>
      </c>
    </row>
    <row r="22" spans="1:39" ht="17.25" x14ac:dyDescent="0.25">
      <c r="A22" s="5" t="s">
        <v>223</v>
      </c>
      <c r="C22" s="94" t="e">
        <f>F_kapacitet_baller_1mand</f>
        <v>#REF!</v>
      </c>
      <c r="D22" s="118" t="s">
        <v>224</v>
      </c>
      <c r="G22" s="132"/>
      <c r="H22" s="22"/>
      <c r="I22" s="143"/>
      <c r="J22" s="205"/>
      <c r="K22" s="143"/>
      <c r="L22" s="143"/>
      <c r="M22" s="146"/>
      <c r="N22" s="143"/>
      <c r="O22" s="143"/>
      <c r="P22" s="143"/>
      <c r="Q22" s="136"/>
      <c r="R22" s="24" t="str">
        <f>IF(I22&gt;0,VLOOKUP(#REF!,Rådata!#REF!,4)/O22,"")</f>
        <v/>
      </c>
      <c r="S22" s="24"/>
      <c r="T22" s="109"/>
      <c r="U22" s="22"/>
      <c r="V22" s="133"/>
      <c r="Y22" s="190" t="s">
        <v>253</v>
      </c>
      <c r="Z22" s="189"/>
      <c r="AA22" s="152" t="e">
        <f>VLOOKUP(AL7,Rådata!#REF!,4)</f>
        <v>#REF!</v>
      </c>
      <c r="AB22" s="187" t="s">
        <v>373</v>
      </c>
    </row>
    <row r="23" spans="1:39" ht="17.25" x14ac:dyDescent="0.25">
      <c r="A23" s="5" t="s">
        <v>326</v>
      </c>
      <c r="C23" s="95">
        <f>Frontlæssehast_mark</f>
        <v>2.6627218934911245</v>
      </c>
      <c r="D23" s="120" t="s">
        <v>324</v>
      </c>
      <c r="F23" s="22"/>
      <c r="G23" s="132"/>
      <c r="H23" s="22"/>
      <c r="I23" s="143" t="e">
        <f>VLOOKUP(AN4,Rådata!#REF!,6)</f>
        <v>#REF!</v>
      </c>
      <c r="J23" s="205" t="s">
        <v>330</v>
      </c>
      <c r="K23" s="151">
        <v>0</v>
      </c>
      <c r="L23" s="143" t="s">
        <v>330</v>
      </c>
      <c r="M23" s="149">
        <v>0</v>
      </c>
      <c r="N23" s="143" t="s">
        <v>330</v>
      </c>
      <c r="O23" s="143">
        <f>K23+M23</f>
        <v>0</v>
      </c>
      <c r="P23" s="143" t="s">
        <v>330</v>
      </c>
      <c r="Q23" s="136" t="e">
        <f>IF(O23&gt;I23,"Fejl",O23/I23)</f>
        <v>#REF!</v>
      </c>
      <c r="R23" s="24">
        <f>IF(O23&gt;0,VLOOKUP(AN4,Rådata!#REF!,4)/O23,0)</f>
        <v>0</v>
      </c>
      <c r="S23" s="24" t="s">
        <v>299</v>
      </c>
      <c r="T23" s="109">
        <f>K23*R23</f>
        <v>0</v>
      </c>
      <c r="U23" s="22" t="s">
        <v>299</v>
      </c>
      <c r="V23" s="133"/>
      <c r="Y23" s="196" t="s">
        <v>271</v>
      </c>
      <c r="Z23" s="197"/>
      <c r="AA23" s="198" t="e">
        <f>AA22*DensBr</f>
        <v>#REF!</v>
      </c>
      <c r="AB23" s="199" t="s">
        <v>351</v>
      </c>
    </row>
    <row r="24" spans="1:39" x14ac:dyDescent="0.25">
      <c r="A24" s="5" t="s">
        <v>327</v>
      </c>
      <c r="C24" s="95">
        <f>Frontlæsse_hast</f>
        <v>2.0710059171597632</v>
      </c>
      <c r="D24" s="120" t="s">
        <v>324</v>
      </c>
      <c r="F24" s="22"/>
      <c r="G24" s="132"/>
      <c r="H24" s="22"/>
      <c r="I24" s="143"/>
      <c r="J24" s="205"/>
      <c r="K24" s="143"/>
      <c r="L24" s="143"/>
      <c r="M24" s="143"/>
      <c r="N24" s="143"/>
      <c r="O24" s="143"/>
      <c r="P24" s="143"/>
      <c r="Q24" s="138" t="e">
        <f>SUM(Q17+Q19+Q21+Q23)</f>
        <v>#REF!</v>
      </c>
      <c r="R24" s="22"/>
      <c r="S24" s="22"/>
      <c r="T24" s="109"/>
      <c r="U24" s="22"/>
      <c r="V24" s="133"/>
      <c r="AA24" s="97"/>
      <c r="AB24" s="115"/>
    </row>
    <row r="25" spans="1:39" ht="18" thickBot="1" x14ac:dyDescent="0.3">
      <c r="D25" s="115"/>
      <c r="G25" s="132"/>
      <c r="H25" s="91" t="s">
        <v>359</v>
      </c>
      <c r="I25" s="108"/>
      <c r="J25" s="206"/>
      <c r="K25" s="108">
        <f>K17+K19+K21+K23</f>
        <v>8450</v>
      </c>
      <c r="L25" s="108" t="s">
        <v>330</v>
      </c>
      <c r="M25" s="143"/>
      <c r="N25" s="143"/>
      <c r="O25" s="143"/>
      <c r="P25" s="143"/>
      <c r="Q25" s="22"/>
      <c r="R25" s="91" t="s">
        <v>336</v>
      </c>
      <c r="S25" s="91"/>
      <c r="T25" s="107" t="e">
        <f>IF(Q24="#VÆRDI!","Fejl",SUM(T17+T19+T21+T23))</f>
        <v>#REF!</v>
      </c>
      <c r="U25" s="91" t="s">
        <v>299</v>
      </c>
      <c r="V25" s="133"/>
      <c r="Y25" s="177"/>
      <c r="Z25" s="158"/>
      <c r="AA25" s="178"/>
      <c r="AB25" s="179"/>
      <c r="AC25" s="158"/>
      <c r="AD25" s="158"/>
      <c r="AE25" s="158"/>
      <c r="AF25" s="158"/>
      <c r="AG25" s="158"/>
      <c r="AH25" s="158"/>
      <c r="AI25" s="158"/>
      <c r="AJ25" s="158"/>
      <c r="AK25" s="158"/>
      <c r="AL25" s="158"/>
      <c r="AM25" s="159"/>
    </row>
    <row r="26" spans="1:39" x14ac:dyDescent="0.25">
      <c r="A26" s="6" t="s">
        <v>269</v>
      </c>
      <c r="D26" s="117"/>
      <c r="G26" s="139"/>
      <c r="H26" s="23"/>
      <c r="I26" s="147"/>
      <c r="J26" s="207"/>
      <c r="K26" s="147"/>
      <c r="L26" s="147"/>
      <c r="M26" s="147"/>
      <c r="N26" s="147"/>
      <c r="O26" s="147"/>
      <c r="P26" s="147"/>
      <c r="Q26" s="23"/>
      <c r="R26" s="140"/>
      <c r="S26" s="140"/>
      <c r="T26" s="23"/>
      <c r="U26" s="23"/>
      <c r="V26" s="141"/>
      <c r="Y26" s="184" t="s">
        <v>246</v>
      </c>
      <c r="Z26" s="160"/>
      <c r="AA26" s="160"/>
      <c r="AB26" s="168"/>
      <c r="AC26" s="160"/>
      <c r="AD26" s="160"/>
      <c r="AE26" s="160"/>
      <c r="AF26" s="160"/>
      <c r="AG26" s="160"/>
      <c r="AH26" s="160"/>
      <c r="AI26" s="160"/>
      <c r="AJ26" s="160"/>
      <c r="AK26" s="160"/>
      <c r="AL26" s="160"/>
      <c r="AM26" s="161"/>
    </row>
    <row r="27" spans="1:39" x14ac:dyDescent="0.25">
      <c r="D27" s="117"/>
      <c r="F27" s="28"/>
      <c r="I27" s="74"/>
      <c r="J27" s="208"/>
      <c r="K27" s="74"/>
      <c r="L27" s="74"/>
      <c r="M27" s="74"/>
      <c r="N27" s="74"/>
      <c r="O27" s="74"/>
      <c r="P27" s="74"/>
      <c r="R27" s="79"/>
      <c r="S27" s="79"/>
      <c r="Y27" s="181"/>
      <c r="Z27" s="160"/>
      <c r="AA27" s="160"/>
      <c r="AB27" s="160"/>
      <c r="AC27" s="160"/>
      <c r="AD27" s="160"/>
      <c r="AE27" s="160"/>
      <c r="AF27" s="160"/>
      <c r="AG27" s="160"/>
      <c r="AH27" s="160"/>
      <c r="AI27" s="160"/>
      <c r="AJ27" s="160"/>
      <c r="AK27" s="160"/>
      <c r="AL27" s="160"/>
      <c r="AM27" s="161"/>
    </row>
    <row r="28" spans="1:39" ht="17.25" x14ac:dyDescent="0.25">
      <c r="A28" s="5" t="e">
        <f>VLOOKUP(AL7,Rådata!#REF!,2)</f>
        <v>#REF!</v>
      </c>
      <c r="C28" s="94" t="e">
        <f>VLOOKUP(AL7,Rådata!#REF!,3)</f>
        <v>#REF!</v>
      </c>
      <c r="D28" s="118" t="s">
        <v>347</v>
      </c>
      <c r="G28" s="128"/>
      <c r="H28" s="129"/>
      <c r="I28" s="148"/>
      <c r="J28" s="209"/>
      <c r="K28" s="148"/>
      <c r="L28" s="148"/>
      <c r="M28" s="148"/>
      <c r="N28" s="148"/>
      <c r="O28" s="148"/>
      <c r="P28" s="148"/>
      <c r="Q28" s="129"/>
      <c r="R28" s="142"/>
      <c r="S28" s="142"/>
      <c r="T28" s="129"/>
      <c r="U28" s="129"/>
      <c r="V28" s="131"/>
      <c r="Y28" s="180" t="s">
        <v>342</v>
      </c>
      <c r="Z28" s="412" t="s">
        <v>223</v>
      </c>
      <c r="AA28" s="412"/>
      <c r="AB28" s="413" t="s">
        <v>333</v>
      </c>
      <c r="AC28" s="413"/>
      <c r="AD28" s="413" t="s">
        <v>334</v>
      </c>
      <c r="AE28" s="413"/>
      <c r="AF28" s="412" t="s">
        <v>335</v>
      </c>
      <c r="AG28" s="412"/>
      <c r="AH28" s="163" t="s">
        <v>61</v>
      </c>
      <c r="AI28" s="412" t="s">
        <v>374</v>
      </c>
      <c r="AJ28" s="412"/>
      <c r="AK28" s="412" t="s">
        <v>340</v>
      </c>
      <c r="AL28" s="412"/>
      <c r="AM28" s="161"/>
    </row>
    <row r="29" spans="1:39" ht="17.25" x14ac:dyDescent="0.25">
      <c r="A29" s="5" t="e">
        <f>VLOOKUP(AL7,Rådata!#REF!,5)</f>
        <v>#REF!</v>
      </c>
      <c r="C29" s="96" t="e">
        <f>VLOOKUP(AL7,Rådata!#REF!,6)</f>
        <v>#REF!</v>
      </c>
      <c r="D29" s="212" t="s">
        <v>324</v>
      </c>
      <c r="G29" s="132"/>
      <c r="H29" s="134" t="s">
        <v>171</v>
      </c>
      <c r="I29" s="404" t="s">
        <v>223</v>
      </c>
      <c r="J29" s="404"/>
      <c r="K29" s="405" t="s">
        <v>333</v>
      </c>
      <c r="L29" s="405"/>
      <c r="M29" s="405" t="s">
        <v>334</v>
      </c>
      <c r="N29" s="405"/>
      <c r="O29" s="404" t="s">
        <v>335</v>
      </c>
      <c r="P29" s="404"/>
      <c r="Q29" s="135" t="s">
        <v>61</v>
      </c>
      <c r="R29" s="407" t="s">
        <v>374</v>
      </c>
      <c r="S29" s="407"/>
      <c r="T29" s="406" t="s">
        <v>340</v>
      </c>
      <c r="U29" s="406"/>
      <c r="V29" s="133"/>
      <c r="Y29" s="181"/>
      <c r="Z29" s="164" t="e">
        <f>VLOOKUP(AN9,Rådata!#REF!,6)</f>
        <v>#REF!</v>
      </c>
      <c r="AA29" s="165" t="s">
        <v>330</v>
      </c>
      <c r="AB29" s="156">
        <v>1000</v>
      </c>
      <c r="AC29" s="165" t="s">
        <v>330</v>
      </c>
      <c r="AD29" s="156">
        <v>4000</v>
      </c>
      <c r="AE29" s="165" t="s">
        <v>330</v>
      </c>
      <c r="AF29" s="166">
        <f>AB29+AD29</f>
        <v>5000</v>
      </c>
      <c r="AG29" s="165" t="s">
        <v>330</v>
      </c>
      <c r="AH29" s="167" t="e">
        <f>IF(AF29&gt;Z29,"Fejl",AF29/Z29)</f>
        <v>#REF!</v>
      </c>
      <c r="AI29" s="168" t="e">
        <f>IF(AF29&gt;0,VLOOKUP(AN9,Rådata!#REF!,4)/AF29,0)</f>
        <v>#REF!</v>
      </c>
      <c r="AJ29" s="168" t="s">
        <v>299</v>
      </c>
      <c r="AK29" s="169" t="e">
        <f>AB29*AI29</f>
        <v>#REF!</v>
      </c>
      <c r="AL29" s="160" t="s">
        <v>299</v>
      </c>
      <c r="AM29" s="161"/>
    </row>
    <row r="30" spans="1:39" ht="17.25" x14ac:dyDescent="0.25">
      <c r="C30" s="22"/>
      <c r="D30" s="121"/>
      <c r="G30" s="132"/>
      <c r="H30" s="22"/>
      <c r="I30" s="143" t="e">
        <f>VLOOKUP(AN5,Rådata!#REF!,6)</f>
        <v>#REF!</v>
      </c>
      <c r="J30" s="205" t="s">
        <v>330</v>
      </c>
      <c r="K30" s="151">
        <v>3004</v>
      </c>
      <c r="L30" s="143" t="s">
        <v>330</v>
      </c>
      <c r="M30" s="151">
        <v>1000</v>
      </c>
      <c r="N30" s="143" t="s">
        <v>330</v>
      </c>
      <c r="O30" s="143">
        <f>K30+M30</f>
        <v>4004</v>
      </c>
      <c r="P30" s="143" t="s">
        <v>330</v>
      </c>
      <c r="Q30" s="136" t="e">
        <f>IF(O30&gt;I30,"Fejl",O30/I30)</f>
        <v>#REF!</v>
      </c>
      <c r="R30" s="24" t="e">
        <f>IF(O30&gt;0,VLOOKUP(AN5,Rådata!#REF!,4)/O30,0)</f>
        <v>#REF!</v>
      </c>
      <c r="S30" s="137" t="s">
        <v>299</v>
      </c>
      <c r="T30" s="143" t="e">
        <f>K30*R30</f>
        <v>#REF!</v>
      </c>
      <c r="U30" s="22" t="s">
        <v>299</v>
      </c>
      <c r="V30" s="133"/>
      <c r="Y30" s="181"/>
      <c r="Z30" s="165"/>
      <c r="AA30" s="165"/>
      <c r="AB30" s="165"/>
      <c r="AC30" s="165"/>
      <c r="AD30" s="164"/>
      <c r="AE30" s="165"/>
      <c r="AF30" s="165"/>
      <c r="AG30" s="165"/>
      <c r="AH30" s="167"/>
      <c r="AI30" s="168"/>
      <c r="AJ30" s="168"/>
      <c r="AK30" s="169"/>
      <c r="AL30" s="160"/>
      <c r="AM30" s="161"/>
    </row>
    <row r="31" spans="1:39" ht="17.25" x14ac:dyDescent="0.25">
      <c r="D31" s="121"/>
      <c r="F31" s="22"/>
      <c r="G31" s="132"/>
      <c r="H31" s="22"/>
      <c r="I31" s="143"/>
      <c r="J31" s="205"/>
      <c r="K31" s="143"/>
      <c r="L31" s="143"/>
      <c r="M31" s="143"/>
      <c r="N31" s="143"/>
      <c r="O31" s="143"/>
      <c r="P31" s="143"/>
      <c r="Q31" s="136"/>
      <c r="R31" s="24" t="str">
        <f>IF(I31&gt;0,VLOOKUP(#REF!,Rådata!#REF!,4)/O31,"")</f>
        <v/>
      </c>
      <c r="S31" s="22"/>
      <c r="T31" s="143"/>
      <c r="U31" s="22"/>
      <c r="V31" s="133"/>
      <c r="Y31" s="181"/>
      <c r="Z31" s="165" t="e">
        <f>VLOOKUP(AN10,Rådata!#REF!,6)</f>
        <v>#REF!</v>
      </c>
      <c r="AA31" s="165" t="s">
        <v>330</v>
      </c>
      <c r="AB31" s="157">
        <v>26</v>
      </c>
      <c r="AC31" s="165" t="s">
        <v>330</v>
      </c>
      <c r="AD31" s="156">
        <v>4000</v>
      </c>
      <c r="AE31" s="165" t="s">
        <v>330</v>
      </c>
      <c r="AF31" s="165">
        <f>AB31+AD31</f>
        <v>4026</v>
      </c>
      <c r="AG31" s="165" t="s">
        <v>330</v>
      </c>
      <c r="AH31" s="167" t="e">
        <f>IF(AF31&gt;Z31,"Fejl",AF31/Z31)</f>
        <v>#REF!</v>
      </c>
      <c r="AI31" s="168" t="e">
        <f>IF(AF31&gt;0,VLOOKUP(AN10,Rådata!#REF!,4)/AF31,0)</f>
        <v>#REF!</v>
      </c>
      <c r="AJ31" s="168" t="s">
        <v>299</v>
      </c>
      <c r="AK31" s="169" t="e">
        <f>AB31*AI31</f>
        <v>#REF!</v>
      </c>
      <c r="AL31" s="160" t="s">
        <v>299</v>
      </c>
      <c r="AM31" s="161"/>
    </row>
    <row r="32" spans="1:39" ht="17.25" x14ac:dyDescent="0.25">
      <c r="A32" s="6" t="s">
        <v>243</v>
      </c>
      <c r="D32" s="121"/>
      <c r="G32" s="132"/>
      <c r="H32" s="22"/>
      <c r="I32" s="143" t="e">
        <f>VLOOKUP(AN6,Rådata!#REF!,6)</f>
        <v>#REF!</v>
      </c>
      <c r="J32" s="205" t="s">
        <v>330</v>
      </c>
      <c r="K32" s="151">
        <v>0</v>
      </c>
      <c r="L32" s="143" t="s">
        <v>330</v>
      </c>
      <c r="M32" s="151">
        <v>0</v>
      </c>
      <c r="N32" s="143" t="s">
        <v>330</v>
      </c>
      <c r="O32" s="143">
        <f>K32+M32</f>
        <v>0</v>
      </c>
      <c r="P32" s="143" t="s">
        <v>330</v>
      </c>
      <c r="Q32" s="136" t="e">
        <f>IF(O32&gt;I32,"Fejl",O32/I32)</f>
        <v>#REF!</v>
      </c>
      <c r="R32" s="24">
        <f>IF(O32&gt;0,VLOOKUP(AN6,Rådata!#REF!,4)/O32,0)</f>
        <v>0</v>
      </c>
      <c r="S32" s="22" t="s">
        <v>299</v>
      </c>
      <c r="T32" s="143">
        <f>K32*R32</f>
        <v>0</v>
      </c>
      <c r="U32" s="22" t="s">
        <v>299</v>
      </c>
      <c r="V32" s="133"/>
      <c r="Y32" s="181"/>
      <c r="Z32" s="165"/>
      <c r="AA32" s="165"/>
      <c r="AB32" s="165"/>
      <c r="AC32" s="165"/>
      <c r="AD32" s="165"/>
      <c r="AE32" s="165"/>
      <c r="AF32" s="164"/>
      <c r="AG32" s="164"/>
      <c r="AH32" s="167"/>
      <c r="AI32" s="168"/>
      <c r="AJ32" s="168"/>
      <c r="AK32" s="169"/>
      <c r="AL32" s="160"/>
      <c r="AM32" s="161"/>
    </row>
    <row r="33" spans="1:39" ht="17.25" x14ac:dyDescent="0.25">
      <c r="D33" s="121"/>
      <c r="G33" s="132"/>
      <c r="H33" s="22"/>
      <c r="I33" s="143"/>
      <c r="J33" s="205"/>
      <c r="K33" s="143"/>
      <c r="L33" s="143"/>
      <c r="M33" s="143"/>
      <c r="N33" s="143"/>
      <c r="O33" s="143"/>
      <c r="P33" s="143"/>
      <c r="Q33" s="136"/>
      <c r="R33" s="24"/>
      <c r="S33" s="22"/>
      <c r="T33" s="143"/>
      <c r="U33" s="22"/>
      <c r="V33" s="133"/>
      <c r="Y33" s="181"/>
      <c r="Z33" s="164" t="e">
        <f>VLOOKUP(AN11,Rådata!#REF!,6)</f>
        <v>#REF!</v>
      </c>
      <c r="AA33" s="165" t="s">
        <v>330</v>
      </c>
      <c r="AB33" s="157">
        <v>0</v>
      </c>
      <c r="AC33" s="165" t="s">
        <v>330</v>
      </c>
      <c r="AD33" s="156">
        <v>0</v>
      </c>
      <c r="AE33" s="165" t="s">
        <v>330</v>
      </c>
      <c r="AF33" s="165">
        <f>AB33+AD33</f>
        <v>0</v>
      </c>
      <c r="AG33" s="165" t="s">
        <v>330</v>
      </c>
      <c r="AH33" s="167" t="e">
        <f>IF(AF33&gt;Z33,"Fejl",AF33/Z33)</f>
        <v>#REF!</v>
      </c>
      <c r="AI33" s="168">
        <f>IF(AF33&gt;0,VLOOKUP(AN11,Rådata!#REF!,4)/AF33,0)</f>
        <v>0</v>
      </c>
      <c r="AJ33" s="168" t="s">
        <v>299</v>
      </c>
      <c r="AK33" s="169">
        <f>AB33*AI33</f>
        <v>0</v>
      </c>
      <c r="AL33" s="160" t="s">
        <v>299</v>
      </c>
      <c r="AM33" s="161"/>
    </row>
    <row r="34" spans="1:39" ht="17.25" x14ac:dyDescent="0.25">
      <c r="A34" s="5" t="s">
        <v>421</v>
      </c>
      <c r="C34" s="101">
        <v>50</v>
      </c>
      <c r="D34" s="119" t="s">
        <v>206</v>
      </c>
      <c r="G34" s="132"/>
      <c r="H34" s="22"/>
      <c r="I34" s="143" t="e">
        <f>VLOOKUP(AN7,Rådata!#REF!,6)</f>
        <v>#REF!</v>
      </c>
      <c r="J34" s="205" t="s">
        <v>330</v>
      </c>
      <c r="K34" s="151">
        <v>0</v>
      </c>
      <c r="L34" s="143" t="s">
        <v>330</v>
      </c>
      <c r="M34" s="151">
        <v>0</v>
      </c>
      <c r="N34" s="143" t="s">
        <v>330</v>
      </c>
      <c r="O34" s="143">
        <f>K34+M34</f>
        <v>0</v>
      </c>
      <c r="P34" s="143" t="s">
        <v>330</v>
      </c>
      <c r="Q34" s="136" t="e">
        <f>IF(O34&gt;I34,"Fejl",O34/I34)</f>
        <v>#REF!</v>
      </c>
      <c r="R34" s="24">
        <f>IF(O34&gt;0,VLOOKUP(AN7,Rådata!#REF!,4)/O34,0)</f>
        <v>0</v>
      </c>
      <c r="S34" s="22" t="s">
        <v>299</v>
      </c>
      <c r="T34" s="143">
        <f>K34*R34</f>
        <v>0</v>
      </c>
      <c r="U34" s="22" t="s">
        <v>299</v>
      </c>
      <c r="V34" s="133"/>
      <c r="Y34" s="181"/>
      <c r="Z34" s="165"/>
      <c r="AA34" s="165"/>
      <c r="AB34" s="165"/>
      <c r="AC34" s="165"/>
      <c r="AD34" s="164"/>
      <c r="AE34" s="165"/>
      <c r="AF34" s="165"/>
      <c r="AG34" s="165"/>
      <c r="AH34" s="167"/>
      <c r="AI34" s="168"/>
      <c r="AJ34" s="168"/>
      <c r="AK34" s="169"/>
      <c r="AL34" s="160"/>
      <c r="AM34" s="161"/>
    </row>
    <row r="35" spans="1:39" ht="17.25" x14ac:dyDescent="0.25">
      <c r="A35" s="5" t="s">
        <v>420</v>
      </c>
      <c r="C35" s="101">
        <v>17</v>
      </c>
      <c r="D35" s="119" t="s">
        <v>206</v>
      </c>
      <c r="G35" s="132"/>
      <c r="H35" s="22"/>
      <c r="I35" s="22"/>
      <c r="J35" s="121"/>
      <c r="K35" s="143"/>
      <c r="L35" s="143"/>
      <c r="M35" s="143"/>
      <c r="N35" s="143"/>
      <c r="O35" s="143"/>
      <c r="P35" s="143"/>
      <c r="Q35" s="136"/>
      <c r="R35" s="24" t="str">
        <f>IF(I35&gt;0,VLOOKUP(#REF!,Rådata!#REF!,4)/O35,"")</f>
        <v/>
      </c>
      <c r="S35" s="22"/>
      <c r="T35" s="143"/>
      <c r="U35" s="22"/>
      <c r="V35" s="133"/>
      <c r="Y35" s="181"/>
      <c r="Z35" s="165" t="e">
        <f>VLOOKUP(AN12,Rådata!#REF!,6)</f>
        <v>#REF!</v>
      </c>
      <c r="AA35" s="165" t="s">
        <v>330</v>
      </c>
      <c r="AB35" s="157">
        <v>0</v>
      </c>
      <c r="AC35" s="165" t="s">
        <v>330</v>
      </c>
      <c r="AD35" s="156">
        <v>0</v>
      </c>
      <c r="AE35" s="165" t="s">
        <v>330</v>
      </c>
      <c r="AF35" s="165">
        <f>AB35+AD35</f>
        <v>0</v>
      </c>
      <c r="AG35" s="165" t="s">
        <v>330</v>
      </c>
      <c r="AH35" s="167" t="e">
        <f>IF(AF35&gt;Z35,"Fejl",AF35/Z35)</f>
        <v>#REF!</v>
      </c>
      <c r="AI35" s="168">
        <f>IF(AF35&gt;0,VLOOKUP(AN12,Rådata!#REF!,4)/AF35,0)</f>
        <v>0</v>
      </c>
      <c r="AJ35" s="168" t="s">
        <v>299</v>
      </c>
      <c r="AK35" s="169">
        <f>AB35*AI35</f>
        <v>0</v>
      </c>
      <c r="AL35" s="160" t="s">
        <v>299</v>
      </c>
      <c r="AM35" s="161"/>
    </row>
    <row r="36" spans="1:39" ht="17.25" x14ac:dyDescent="0.25">
      <c r="A36" s="5" t="e">
        <f>VLOOKUP(AL3,Rådata!#REF!,2)</f>
        <v>#REF!</v>
      </c>
      <c r="C36" s="94" t="e">
        <f>VLOOKUP(AL3,Rådata!#REF!,4)</f>
        <v>#REF!</v>
      </c>
      <c r="D36" s="122" t="s">
        <v>347</v>
      </c>
      <c r="G36" s="132"/>
      <c r="H36" s="22"/>
      <c r="I36" s="22" t="e">
        <f>VLOOKUP(AN8,Rådata!#REF!,6)</f>
        <v>#REF!</v>
      </c>
      <c r="J36" s="121" t="s">
        <v>330</v>
      </c>
      <c r="K36" s="151">
        <v>0</v>
      </c>
      <c r="L36" s="143" t="s">
        <v>330</v>
      </c>
      <c r="M36" s="151">
        <v>0</v>
      </c>
      <c r="N36" s="143" t="s">
        <v>330</v>
      </c>
      <c r="O36" s="143">
        <f>K36+M36</f>
        <v>0</v>
      </c>
      <c r="P36" s="143" t="s">
        <v>330</v>
      </c>
      <c r="Q36" s="136" t="e">
        <f>IF(O36&gt;I36,"Fejl",O36/I36)</f>
        <v>#REF!</v>
      </c>
      <c r="R36" s="24">
        <f>IF(O36&gt;0,VLOOKUP(AN8,Rådata!#REF!,4)/O36,0)</f>
        <v>0</v>
      </c>
      <c r="S36" s="22" t="s">
        <v>299</v>
      </c>
      <c r="T36" s="143">
        <f>K36*R36</f>
        <v>0</v>
      </c>
      <c r="U36" s="22" t="s">
        <v>299</v>
      </c>
      <c r="V36" s="133"/>
      <c r="Y36" s="181"/>
      <c r="Z36" s="165"/>
      <c r="AA36" s="165"/>
      <c r="AB36" s="165"/>
      <c r="AC36" s="165"/>
      <c r="AD36" s="165"/>
      <c r="AE36" s="165"/>
      <c r="AF36" s="165"/>
      <c r="AG36" s="165"/>
      <c r="AH36" s="202" t="e">
        <f>SUM(AH29+AH31+AH33+AH35)</f>
        <v>#REF!</v>
      </c>
      <c r="AI36" s="160"/>
      <c r="AJ36" s="160"/>
      <c r="AK36" s="169"/>
      <c r="AL36" s="160"/>
      <c r="AM36" s="161"/>
    </row>
    <row r="37" spans="1:39" ht="18" thickBot="1" x14ac:dyDescent="0.3">
      <c r="A37" s="5" t="s">
        <v>356</v>
      </c>
      <c r="C37" s="94" t="e">
        <f>VLOOKUP(AL3,Rådata!#REF!,5)</f>
        <v>#REF!</v>
      </c>
      <c r="D37" s="122" t="s">
        <v>224</v>
      </c>
      <c r="G37" s="132"/>
      <c r="H37" s="22"/>
      <c r="I37" s="22"/>
      <c r="J37" s="121"/>
      <c r="K37" s="22"/>
      <c r="L37" s="22"/>
      <c r="M37" s="22"/>
      <c r="N37" s="22"/>
      <c r="O37" s="22"/>
      <c r="P37" s="22"/>
      <c r="Q37" s="144" t="e">
        <f>SUM(Q30+Q32+Q34+Q36)</f>
        <v>#REF!</v>
      </c>
      <c r="R37" s="22"/>
      <c r="S37" s="22"/>
      <c r="T37" s="143"/>
      <c r="U37" s="22"/>
      <c r="V37" s="133"/>
      <c r="Y37" s="182" t="s">
        <v>359</v>
      </c>
      <c r="Z37" s="171"/>
      <c r="AA37" s="171"/>
      <c r="AB37" s="171">
        <f>AB29+AB31+AB33+AB35</f>
        <v>1026</v>
      </c>
      <c r="AC37" s="171" t="s">
        <v>330</v>
      </c>
      <c r="AD37" s="165"/>
      <c r="AE37" s="165"/>
      <c r="AF37" s="165"/>
      <c r="AG37" s="165"/>
      <c r="AH37" s="160"/>
      <c r="AI37" s="170" t="s">
        <v>336</v>
      </c>
      <c r="AJ37" s="170"/>
      <c r="AK37" s="172" t="e">
        <f>IF(AH36="#VÆRDI!","Fejl",SUM(AK29+AK31+AK33+AK35))</f>
        <v>#REF!</v>
      </c>
      <c r="AL37" s="170" t="s">
        <v>299</v>
      </c>
      <c r="AM37" s="161"/>
    </row>
    <row r="38" spans="1:39" ht="18" thickBot="1" x14ac:dyDescent="0.3">
      <c r="A38" s="5" t="s">
        <v>357</v>
      </c>
      <c r="C38" s="100" t="e">
        <f>TransAnlægKap*Bigballevægt</f>
        <v>#REF!</v>
      </c>
      <c r="D38" s="123" t="s">
        <v>351</v>
      </c>
      <c r="G38" s="132"/>
      <c r="H38" s="91" t="s">
        <v>360</v>
      </c>
      <c r="I38" s="91"/>
      <c r="J38" s="210"/>
      <c r="K38" s="91">
        <f>K30+K32+K34+K36</f>
        <v>3004</v>
      </c>
      <c r="L38" s="92" t="s">
        <v>330</v>
      </c>
      <c r="M38" s="22"/>
      <c r="N38" s="22"/>
      <c r="O38" s="22"/>
      <c r="P38" s="22"/>
      <c r="Q38" s="22"/>
      <c r="R38" s="91" t="s">
        <v>336</v>
      </c>
      <c r="S38" s="91"/>
      <c r="T38" s="108" t="e">
        <f>IF(Q37="#VÆRDI!","Fejl",SUM(T30+T32+T34+T36))</f>
        <v>#REF!</v>
      </c>
      <c r="U38" s="91" t="s">
        <v>299</v>
      </c>
      <c r="V38" s="133"/>
      <c r="Y38" s="183"/>
      <c r="Z38" s="174"/>
      <c r="AA38" s="174"/>
      <c r="AB38" s="174"/>
      <c r="AC38" s="174"/>
      <c r="AD38" s="174"/>
      <c r="AE38" s="174"/>
      <c r="AF38" s="174"/>
      <c r="AG38" s="174"/>
      <c r="AH38" s="173"/>
      <c r="AI38" s="175"/>
      <c r="AJ38" s="175"/>
      <c r="AK38" s="173"/>
      <c r="AL38" s="173"/>
      <c r="AM38" s="176"/>
    </row>
    <row r="39" spans="1:39" x14ac:dyDescent="0.25">
      <c r="A39" s="5" t="s">
        <v>355</v>
      </c>
      <c r="C39" s="100" t="e">
        <f>VLOOKUP(AL3,Rådata!#REF!,6)</f>
        <v>#REF!</v>
      </c>
      <c r="D39" s="123" t="s">
        <v>352</v>
      </c>
      <c r="G39" s="139"/>
      <c r="H39" s="23"/>
      <c r="I39" s="23"/>
      <c r="J39" s="211"/>
      <c r="K39" s="23"/>
      <c r="L39" s="23"/>
      <c r="M39" s="23"/>
      <c r="N39" s="23"/>
      <c r="O39" s="23"/>
      <c r="P39" s="23"/>
      <c r="Q39" s="23"/>
      <c r="R39" s="23"/>
      <c r="S39" s="23"/>
      <c r="T39" s="23"/>
      <c r="U39" s="23"/>
      <c r="V39" s="141"/>
    </row>
    <row r="40" spans="1:39" x14ac:dyDescent="0.25">
      <c r="D40" s="119"/>
      <c r="E40" s="119"/>
      <c r="Y40" s="177"/>
      <c r="Z40" s="158"/>
      <c r="AA40" s="178"/>
      <c r="AB40" s="179"/>
      <c r="AC40" s="158"/>
      <c r="AD40" s="158"/>
      <c r="AE40" s="158"/>
      <c r="AF40" s="158"/>
      <c r="AG40" s="158"/>
      <c r="AH40" s="158"/>
      <c r="AI40" s="158"/>
      <c r="AJ40" s="158"/>
      <c r="AK40" s="158"/>
      <c r="AL40" s="158"/>
      <c r="AM40" s="159"/>
    </row>
    <row r="41" spans="1:39" x14ac:dyDescent="0.25">
      <c r="D41" s="121"/>
      <c r="Y41" s="184" t="s">
        <v>246</v>
      </c>
      <c r="Z41" s="160"/>
      <c r="AA41" s="160"/>
      <c r="AB41" s="168"/>
      <c r="AC41" s="160"/>
      <c r="AD41" s="160"/>
      <c r="AE41" s="160"/>
      <c r="AF41" s="160"/>
      <c r="AG41" s="160"/>
      <c r="AH41" s="160"/>
      <c r="AI41" s="160"/>
      <c r="AJ41" s="160"/>
      <c r="AK41" s="160"/>
      <c r="AL41" s="160"/>
      <c r="AM41" s="161"/>
    </row>
    <row r="42" spans="1:39" x14ac:dyDescent="0.25">
      <c r="A42" s="6" t="s">
        <v>270</v>
      </c>
      <c r="D42" s="121"/>
      <c r="Y42" s="181"/>
      <c r="Z42" s="160"/>
      <c r="AA42" s="160"/>
      <c r="AB42" s="160"/>
      <c r="AC42" s="160"/>
      <c r="AD42" s="160"/>
      <c r="AE42" s="160"/>
      <c r="AF42" s="160"/>
      <c r="AG42" s="160"/>
      <c r="AH42" s="160"/>
      <c r="AI42" s="160"/>
      <c r="AJ42" s="160"/>
      <c r="AK42" s="160"/>
      <c r="AL42" s="160"/>
      <c r="AM42" s="161"/>
    </row>
    <row r="43" spans="1:39" ht="17.25" x14ac:dyDescent="0.25">
      <c r="D43" s="121"/>
      <c r="Y43" s="180" t="s">
        <v>171</v>
      </c>
      <c r="Z43" s="412" t="s">
        <v>223</v>
      </c>
      <c r="AA43" s="412"/>
      <c r="AB43" s="413" t="s">
        <v>333</v>
      </c>
      <c r="AC43" s="413"/>
      <c r="AD43" s="413" t="s">
        <v>334</v>
      </c>
      <c r="AE43" s="413"/>
      <c r="AF43" s="412" t="s">
        <v>335</v>
      </c>
      <c r="AG43" s="412"/>
      <c r="AH43" s="163" t="s">
        <v>61</v>
      </c>
      <c r="AI43" s="412" t="s">
        <v>374</v>
      </c>
      <c r="AJ43" s="412"/>
      <c r="AK43" s="412" t="s">
        <v>340</v>
      </c>
      <c r="AL43" s="412"/>
      <c r="AM43" s="161"/>
    </row>
    <row r="44" spans="1:39" ht="17.25" x14ac:dyDescent="0.25">
      <c r="A44" s="5" t="e">
        <f>VLOOKUP(AL2,Rådata!#REF!,2)</f>
        <v>#REF!</v>
      </c>
      <c r="C44" s="99" t="e">
        <f>VLOOKUP(AL2,Rådata!#REF!,3)</f>
        <v>#REF!</v>
      </c>
      <c r="D44" s="118" t="s">
        <v>347</v>
      </c>
      <c r="Y44" s="181"/>
      <c r="Z44" s="165" t="e">
        <f>VLOOKUP(AN13,Rådata!#REF!,6)</f>
        <v>#REF!</v>
      </c>
      <c r="AA44" s="165" t="s">
        <v>330</v>
      </c>
      <c r="AB44" s="156">
        <v>3756</v>
      </c>
      <c r="AC44" s="165" t="s">
        <v>330</v>
      </c>
      <c r="AD44" s="156">
        <v>0</v>
      </c>
      <c r="AE44" s="165" t="s">
        <v>330</v>
      </c>
      <c r="AF44" s="166">
        <f>AB44+AD44</f>
        <v>3756</v>
      </c>
      <c r="AG44" s="165" t="s">
        <v>330</v>
      </c>
      <c r="AH44" s="167" t="e">
        <f>IF(AF44&gt;Z44,"Fejl",AF44/Z44)</f>
        <v>#REF!</v>
      </c>
      <c r="AI44" s="168" t="e">
        <f>IF(AF44&gt;0,VLOOKUP(AN13,Rådata!#REF!,4)/AF44,0)</f>
        <v>#REF!</v>
      </c>
      <c r="AJ44" s="168" t="s">
        <v>299</v>
      </c>
      <c r="AK44" s="169" t="e">
        <f>AB44*AI44</f>
        <v>#REF!</v>
      </c>
      <c r="AL44" s="160" t="s">
        <v>299</v>
      </c>
      <c r="AM44" s="161"/>
    </row>
    <row r="45" spans="1:39" x14ac:dyDescent="0.25">
      <c r="A45" s="5" t="e">
        <f>VLOOKUP(AL2,Rådata!#REF!,5)</f>
        <v>#REF!</v>
      </c>
      <c r="C45" s="104" t="e">
        <f>VLOOKUP(AL2,Rådata!#REF!,6)</f>
        <v>#REF!</v>
      </c>
      <c r="D45" s="212" t="s">
        <v>324</v>
      </c>
      <c r="Y45" s="181"/>
      <c r="Z45" s="165"/>
      <c r="AA45" s="165"/>
      <c r="AB45" s="165"/>
      <c r="AC45" s="165"/>
      <c r="AD45" s="164"/>
      <c r="AE45" s="165"/>
      <c r="AF45" s="165"/>
      <c r="AG45" s="165"/>
      <c r="AH45" s="167"/>
      <c r="AI45" s="168"/>
      <c r="AJ45" s="168"/>
      <c r="AK45" s="169"/>
      <c r="AL45" s="160"/>
      <c r="AM45" s="161"/>
    </row>
    <row r="46" spans="1:39" ht="17.25" x14ac:dyDescent="0.25">
      <c r="Y46" s="181"/>
      <c r="Z46" s="165" t="e">
        <f>VLOOKUP(AN14,Rådata!#REF!,6)</f>
        <v>#REF!</v>
      </c>
      <c r="AA46" s="165" t="s">
        <v>330</v>
      </c>
      <c r="AB46" s="157">
        <v>0</v>
      </c>
      <c r="AC46" s="165" t="s">
        <v>330</v>
      </c>
      <c r="AD46" s="156">
        <v>0</v>
      </c>
      <c r="AE46" s="165" t="s">
        <v>330</v>
      </c>
      <c r="AF46" s="165">
        <f>AB46+AD46</f>
        <v>0</v>
      </c>
      <c r="AG46" s="165" t="s">
        <v>330</v>
      </c>
      <c r="AH46" s="167" t="e">
        <f>IF(AF46&gt;Z46,"Fejl",AF46/Z46)</f>
        <v>#REF!</v>
      </c>
      <c r="AI46" s="168">
        <f>IF(AF46&gt;0,VLOOKUP(AN14,Rådata!#REF!,4)/AF46,0)</f>
        <v>0</v>
      </c>
      <c r="AJ46" s="168" t="s">
        <v>299</v>
      </c>
      <c r="AK46" s="169">
        <f>AB46*AI46</f>
        <v>0</v>
      </c>
      <c r="AL46" s="160" t="s">
        <v>299</v>
      </c>
      <c r="AM46" s="161"/>
    </row>
    <row r="47" spans="1:39" x14ac:dyDescent="0.25">
      <c r="D47" s="124"/>
      <c r="Y47" s="181"/>
      <c r="Z47" s="165"/>
      <c r="AA47" s="165"/>
      <c r="AB47" s="165"/>
      <c r="AC47" s="165"/>
      <c r="AD47" s="165"/>
      <c r="AE47" s="165"/>
      <c r="AF47" s="164"/>
      <c r="AG47" s="164"/>
      <c r="AH47" s="167"/>
      <c r="AI47" s="168"/>
      <c r="AJ47" s="168"/>
      <c r="AK47" s="169"/>
      <c r="AL47" s="160"/>
      <c r="AM47" s="161"/>
    </row>
    <row r="48" spans="1:39" ht="17.25" x14ac:dyDescent="0.25">
      <c r="A48" s="6" t="s">
        <v>248</v>
      </c>
      <c r="D48" s="124"/>
      <c r="Y48" s="181"/>
      <c r="Z48" s="165" t="e">
        <f>VLOOKUP(AN15,Rådata!#REF!,6)</f>
        <v>#REF!</v>
      </c>
      <c r="AA48" s="165" t="s">
        <v>330</v>
      </c>
      <c r="AB48" s="157">
        <v>0</v>
      </c>
      <c r="AC48" s="165" t="s">
        <v>330</v>
      </c>
      <c r="AD48" s="156">
        <v>4000</v>
      </c>
      <c r="AE48" s="165" t="s">
        <v>330</v>
      </c>
      <c r="AF48" s="165">
        <f>AB48+AD48</f>
        <v>4000</v>
      </c>
      <c r="AG48" s="165" t="s">
        <v>330</v>
      </c>
      <c r="AH48" s="167" t="e">
        <f>IF(AF48&gt;Z48,"Fejl",AF48/Z48)</f>
        <v>#REF!</v>
      </c>
      <c r="AI48" s="168" t="e">
        <f>IF(AF48&gt;0,VLOOKUP(AN15,Rådata!#REF!,4)/AF48,0)</f>
        <v>#REF!</v>
      </c>
      <c r="AJ48" s="168" t="s">
        <v>299</v>
      </c>
      <c r="AK48" s="169" t="e">
        <f>AB48*AI48</f>
        <v>#REF!</v>
      </c>
      <c r="AL48" s="160" t="s">
        <v>299</v>
      </c>
      <c r="AM48" s="161"/>
    </row>
    <row r="49" spans="1:39" x14ac:dyDescent="0.25">
      <c r="D49" s="124"/>
      <c r="Y49" s="181"/>
      <c r="Z49" s="165"/>
      <c r="AA49" s="165"/>
      <c r="AB49" s="165"/>
      <c r="AC49" s="165"/>
      <c r="AD49" s="164"/>
      <c r="AE49" s="165"/>
      <c r="AF49" s="165"/>
      <c r="AG49" s="165"/>
      <c r="AH49" s="167"/>
      <c r="AI49" s="168"/>
      <c r="AJ49" s="168"/>
      <c r="AK49" s="169"/>
      <c r="AL49" s="160"/>
      <c r="AM49" s="161"/>
    </row>
    <row r="50" spans="1:39" ht="17.25" x14ac:dyDescent="0.25">
      <c r="D50" s="124"/>
      <c r="Y50" s="181"/>
      <c r="Z50" s="165" t="e">
        <f>VLOOKUP(AN16,Rådata!#REF!,6)</f>
        <v>#REF!</v>
      </c>
      <c r="AA50" s="165" t="s">
        <v>330</v>
      </c>
      <c r="AB50" s="157">
        <v>0</v>
      </c>
      <c r="AC50" s="165" t="s">
        <v>330</v>
      </c>
      <c r="AD50" s="156">
        <v>0</v>
      </c>
      <c r="AE50" s="165" t="s">
        <v>330</v>
      </c>
      <c r="AF50" s="165">
        <f>AB50+AD50</f>
        <v>0</v>
      </c>
      <c r="AG50" s="165" t="s">
        <v>330</v>
      </c>
      <c r="AH50" s="167" t="e">
        <f>IF(AF50&gt;Z50,"Fejl",AF50/Z50)</f>
        <v>#REF!</v>
      </c>
      <c r="AI50" s="168">
        <f>IF(AF50&gt;0,VLOOKUP(AN16,Rådata!#REF!,4)/AF50,0)</f>
        <v>0</v>
      </c>
      <c r="AJ50" s="168" t="s">
        <v>299</v>
      </c>
      <c r="AK50" s="169">
        <f>AB50*AI50</f>
        <v>0</v>
      </c>
      <c r="AL50" s="160" t="s">
        <v>299</v>
      </c>
      <c r="AM50" s="161"/>
    </row>
    <row r="51" spans="1:39" x14ac:dyDescent="0.25">
      <c r="A51" s="6" t="s">
        <v>272</v>
      </c>
      <c r="D51" s="124"/>
      <c r="Y51" s="181"/>
      <c r="Z51" s="165"/>
      <c r="AA51" s="165"/>
      <c r="AB51" s="165"/>
      <c r="AC51" s="165"/>
      <c r="AD51" s="165"/>
      <c r="AE51" s="165"/>
      <c r="AF51" s="165"/>
      <c r="AG51" s="165"/>
      <c r="AH51" s="202" t="e">
        <f>SUM(AH44+AH46+AH48+AH50)</f>
        <v>#REF!</v>
      </c>
      <c r="AI51" s="168"/>
      <c r="AJ51" s="160"/>
      <c r="AK51" s="169"/>
      <c r="AL51" s="160"/>
      <c r="AM51" s="161"/>
    </row>
    <row r="52" spans="1:39" ht="18" thickBot="1" x14ac:dyDescent="0.3">
      <c r="A52" s="5" t="s">
        <v>365</v>
      </c>
      <c r="B52" s="411">
        <f>IF(AL4=1,Ex_pris,0)</f>
        <v>0</v>
      </c>
      <c r="C52" s="411"/>
      <c r="D52" s="125" t="s">
        <v>299</v>
      </c>
      <c r="Y52" s="182" t="s">
        <v>359</v>
      </c>
      <c r="Z52" s="171"/>
      <c r="AA52" s="171"/>
      <c r="AB52" s="171">
        <f>AB44+AB46+AB48+AB50</f>
        <v>3756</v>
      </c>
      <c r="AC52" s="171" t="s">
        <v>330</v>
      </c>
      <c r="AD52" s="165"/>
      <c r="AE52" s="165"/>
      <c r="AF52" s="165"/>
      <c r="AG52" s="165"/>
      <c r="AH52" s="160"/>
      <c r="AI52" s="170" t="s">
        <v>336</v>
      </c>
      <c r="AJ52" s="170"/>
      <c r="AK52" s="172" t="e">
        <f>IF(AH51="#VÆRDI!","Fejl",SUM(AK44+AK46+AK48+AK50))</f>
        <v>#REF!</v>
      </c>
      <c r="AL52" s="170" t="s">
        <v>299</v>
      </c>
      <c r="AM52" s="161"/>
    </row>
    <row r="53" spans="1:39" x14ac:dyDescent="0.25">
      <c r="A53" s="5" t="s">
        <v>223</v>
      </c>
      <c r="B53" s="411">
        <f>IF(AL4=1,Ex_kap,0)</f>
        <v>0</v>
      </c>
      <c r="C53" s="411"/>
      <c r="D53" s="125" t="s">
        <v>278</v>
      </c>
      <c r="Y53" s="183"/>
      <c r="Z53" s="174"/>
      <c r="AA53" s="174"/>
      <c r="AB53" s="174"/>
      <c r="AC53" s="174"/>
      <c r="AD53" s="174"/>
      <c r="AE53" s="174"/>
      <c r="AF53" s="174"/>
      <c r="AG53" s="174"/>
      <c r="AH53" s="173"/>
      <c r="AI53" s="175"/>
      <c r="AJ53" s="175"/>
      <c r="AK53" s="173"/>
      <c r="AL53" s="173"/>
      <c r="AM53" s="176"/>
    </row>
    <row r="54" spans="1:39" x14ac:dyDescent="0.25">
      <c r="A54" s="5" t="s">
        <v>366</v>
      </c>
      <c r="C54" s="110">
        <f>IF(AL4=1,Ex_driftogVedlige,0)</f>
        <v>0</v>
      </c>
      <c r="D54" s="125" t="s">
        <v>346</v>
      </c>
    </row>
    <row r="55" spans="1:39" x14ac:dyDescent="0.25">
      <c r="A55" s="98" t="s">
        <v>255</v>
      </c>
      <c r="B55" s="411">
        <f>IF(AL4=1,EX_forsik,0)</f>
        <v>0</v>
      </c>
      <c r="C55" s="411"/>
      <c r="D55" s="125" t="s">
        <v>363</v>
      </c>
    </row>
    <row r="56" spans="1:39" x14ac:dyDescent="0.25">
      <c r="A56" s="5" t="s">
        <v>368</v>
      </c>
      <c r="C56" s="110">
        <f>IF(AL4=1,10,0)</f>
        <v>0</v>
      </c>
      <c r="D56" s="125" t="s">
        <v>364</v>
      </c>
    </row>
    <row r="57" spans="1:39" x14ac:dyDescent="0.25">
      <c r="C57" s="65"/>
      <c r="D57" s="126"/>
    </row>
    <row r="58" spans="1:39" x14ac:dyDescent="0.25">
      <c r="A58" s="6" t="s">
        <v>273</v>
      </c>
      <c r="D58" s="124"/>
    </row>
    <row r="59" spans="1:39" x14ac:dyDescent="0.25">
      <c r="A59" s="5" t="s">
        <v>371</v>
      </c>
      <c r="B59" s="411">
        <f>IF(AL4=2,BrPrisSamlet,0)</f>
        <v>-4723000</v>
      </c>
      <c r="C59" s="411"/>
      <c r="D59" s="125" t="s">
        <v>299</v>
      </c>
    </row>
    <row r="60" spans="1:39" x14ac:dyDescent="0.25">
      <c r="A60" s="5" t="s">
        <v>223</v>
      </c>
      <c r="B60" s="411">
        <f>IF(AL4=2,PresserKap,0)</f>
        <v>10000</v>
      </c>
      <c r="C60" s="411"/>
      <c r="D60" s="125" t="s">
        <v>278</v>
      </c>
    </row>
    <row r="61" spans="1:39" x14ac:dyDescent="0.25">
      <c r="A61" s="5" t="s">
        <v>370</v>
      </c>
      <c r="C61" s="110">
        <f>IF(AL4=2,BrDriftTon+BrVedlige,0)</f>
        <v>-76</v>
      </c>
      <c r="D61" s="125" t="s">
        <v>346</v>
      </c>
    </row>
    <row r="62" spans="1:39" x14ac:dyDescent="0.25">
      <c r="A62" s="5" t="s">
        <v>255</v>
      </c>
      <c r="C62" s="110">
        <f>IF(AL4=2,Br_Forsik,0)</f>
        <v>-50000</v>
      </c>
      <c r="D62" s="125" t="s">
        <v>363</v>
      </c>
    </row>
    <row r="63" spans="1:39" x14ac:dyDescent="0.25">
      <c r="A63" s="5" t="s">
        <v>368</v>
      </c>
      <c r="C63" s="110">
        <f>IF(AL4=2,Br_Levetid,0)</f>
        <v>10</v>
      </c>
      <c r="D63" s="125" t="s">
        <v>364</v>
      </c>
    </row>
  </sheetData>
  <mergeCells count="32">
    <mergeCell ref="AK28:AL28"/>
    <mergeCell ref="Z43:AA43"/>
    <mergeCell ref="AB43:AC43"/>
    <mergeCell ref="AD43:AE43"/>
    <mergeCell ref="AF43:AG43"/>
    <mergeCell ref="AI43:AJ43"/>
    <mergeCell ref="AK43:AL43"/>
    <mergeCell ref="Z28:AA28"/>
    <mergeCell ref="AB28:AC28"/>
    <mergeCell ref="AD28:AE28"/>
    <mergeCell ref="AF28:AG28"/>
    <mergeCell ref="AI28:AJ28"/>
    <mergeCell ref="B52:C52"/>
    <mergeCell ref="B55:C55"/>
    <mergeCell ref="B53:C53"/>
    <mergeCell ref="B59:C59"/>
    <mergeCell ref="B60:C60"/>
    <mergeCell ref="M8:N8"/>
    <mergeCell ref="I8:J8"/>
    <mergeCell ref="K8:L8"/>
    <mergeCell ref="I16:J16"/>
    <mergeCell ref="K16:L16"/>
    <mergeCell ref="M16:N16"/>
    <mergeCell ref="I29:J29"/>
    <mergeCell ref="K29:L29"/>
    <mergeCell ref="M29:N29"/>
    <mergeCell ref="O29:P29"/>
    <mergeCell ref="T16:U16"/>
    <mergeCell ref="T29:U29"/>
    <mergeCell ref="R16:S16"/>
    <mergeCell ref="O16:P16"/>
    <mergeCell ref="R29:S29"/>
  </mergeCells>
  <conditionalFormatting sqref="Q17:Q23">
    <cfRule type="containsText" dxfId="2" priority="3" operator="containsText" text="Fejl">
      <formula>NOT(ISERROR(SEARCH("Fejl",Q17)))</formula>
    </cfRule>
  </conditionalFormatting>
  <conditionalFormatting sqref="AH29:AH35">
    <cfRule type="containsText" dxfId="1" priority="2" operator="containsText" text="Fejl">
      <formula>NOT(ISERROR(SEARCH("Fejl",AH29)))</formula>
    </cfRule>
  </conditionalFormatting>
  <conditionalFormatting sqref="AH44:AH50">
    <cfRule type="containsText" dxfId="0" priority="1" operator="containsText" text="Fejl">
      <formula>NOT(ISERROR(SEARCH("Fejl",AH44)))</formula>
    </cfRule>
  </conditionalFormatting>
  <pageMargins left="0.7" right="0.7" top="0.75" bottom="0.75" header="0.3" footer="0.3"/>
  <ignoredErrors>
    <ignoredError sqref="AK44"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6386" r:id="rId3" name="Drop Down 2">
              <controlPr defaultSize="0" autoLine="0" autoPict="0">
                <anchor moveWithCells="1">
                  <from>
                    <xdr:col>0</xdr:col>
                    <xdr:colOff>9525</xdr:colOff>
                    <xdr:row>42</xdr:row>
                    <xdr:rowOff>9525</xdr:rowOff>
                  </from>
                  <to>
                    <xdr:col>0</xdr:col>
                    <xdr:colOff>1847850</xdr:colOff>
                    <xdr:row>42</xdr:row>
                    <xdr:rowOff>209550</xdr:rowOff>
                  </to>
                </anchor>
              </controlPr>
            </control>
          </mc:Choice>
        </mc:AlternateContent>
        <mc:AlternateContent xmlns:mc="http://schemas.openxmlformats.org/markup-compatibility/2006">
          <mc:Choice Requires="x14">
            <control shapeId="16388" r:id="rId4" name="Drop Down 4">
              <controlPr defaultSize="0" autoLine="0" autoPict="0">
                <anchor moveWithCells="1">
                  <from>
                    <xdr:col>0</xdr:col>
                    <xdr:colOff>38100</xdr:colOff>
                    <xdr:row>32</xdr:row>
                    <xdr:rowOff>9525</xdr:rowOff>
                  </from>
                  <to>
                    <xdr:col>0</xdr:col>
                    <xdr:colOff>1876425</xdr:colOff>
                    <xdr:row>32</xdr:row>
                    <xdr:rowOff>209550</xdr:rowOff>
                  </to>
                </anchor>
              </controlPr>
            </control>
          </mc:Choice>
        </mc:AlternateContent>
        <mc:AlternateContent xmlns:mc="http://schemas.openxmlformats.org/markup-compatibility/2006">
          <mc:Choice Requires="x14">
            <control shapeId="16392" r:id="rId5" name="Button 8">
              <controlPr defaultSize="0" print="0" autoFill="0" autoPict="0" macro="[0]!GåTilHalmResultater">
                <anchor moveWithCells="1" sizeWithCells="1">
                  <from>
                    <xdr:col>6</xdr:col>
                    <xdr:colOff>523875</xdr:colOff>
                    <xdr:row>47</xdr:row>
                    <xdr:rowOff>0</xdr:rowOff>
                  </from>
                  <to>
                    <xdr:col>8</xdr:col>
                    <xdr:colOff>95250</xdr:colOff>
                    <xdr:row>49</xdr:row>
                    <xdr:rowOff>76200</xdr:rowOff>
                  </to>
                </anchor>
              </controlPr>
            </control>
          </mc:Choice>
        </mc:AlternateContent>
        <mc:AlternateContent xmlns:mc="http://schemas.openxmlformats.org/markup-compatibility/2006">
          <mc:Choice Requires="x14">
            <control shapeId="16393" r:id="rId6" name="Button 9">
              <controlPr defaultSize="0" print="0" autoFill="0" autoPict="0" macro="[0]!TilbageTilHovedmenuFraHalm">
                <anchor moveWithCells="1" sizeWithCells="1">
                  <from>
                    <xdr:col>6</xdr:col>
                    <xdr:colOff>581025</xdr:colOff>
                    <xdr:row>43</xdr:row>
                    <xdr:rowOff>9525</xdr:rowOff>
                  </from>
                  <to>
                    <xdr:col>8</xdr:col>
                    <xdr:colOff>66675</xdr:colOff>
                    <xdr:row>45</xdr:row>
                    <xdr:rowOff>85725</xdr:rowOff>
                  </to>
                </anchor>
              </controlPr>
            </control>
          </mc:Choice>
        </mc:AlternateContent>
        <mc:AlternateContent xmlns:mc="http://schemas.openxmlformats.org/markup-compatibility/2006">
          <mc:Choice Requires="x14">
            <control shapeId="16394" r:id="rId7" name="Drop Down 10">
              <controlPr defaultSize="0" autoLine="0" autoPict="0">
                <anchor moveWithCells="1">
                  <from>
                    <xdr:col>0</xdr:col>
                    <xdr:colOff>19050</xdr:colOff>
                    <xdr:row>48</xdr:row>
                    <xdr:rowOff>66675</xdr:rowOff>
                  </from>
                  <to>
                    <xdr:col>0</xdr:col>
                    <xdr:colOff>1857375</xdr:colOff>
                    <xdr:row>49</xdr:row>
                    <xdr:rowOff>76200</xdr:rowOff>
                  </to>
                </anchor>
              </controlPr>
            </control>
          </mc:Choice>
        </mc:AlternateContent>
        <mc:AlternateContent xmlns:mc="http://schemas.openxmlformats.org/markup-compatibility/2006">
          <mc:Choice Requires="x14">
            <control shapeId="16420" r:id="rId8" name="Drop Down 36">
              <controlPr defaultSize="0" autoLine="0" autoPict="0">
                <anchor moveWithCells="1">
                  <from>
                    <xdr:col>0</xdr:col>
                    <xdr:colOff>19050</xdr:colOff>
                    <xdr:row>26</xdr:row>
                    <xdr:rowOff>9525</xdr:rowOff>
                  </from>
                  <to>
                    <xdr:col>0</xdr:col>
                    <xdr:colOff>1857375</xdr:colOff>
                    <xdr:row>27</xdr:row>
                    <xdr:rowOff>19050</xdr:rowOff>
                  </to>
                </anchor>
              </controlPr>
            </control>
          </mc:Choice>
        </mc:AlternateContent>
        <mc:AlternateContent xmlns:mc="http://schemas.openxmlformats.org/markup-compatibility/2006">
          <mc:Choice Requires="x14">
            <control shapeId="16432" r:id="rId9" name="Drop Down 48">
              <controlPr defaultSize="0" autoLine="0" autoPict="0">
                <anchor moveWithCells="1">
                  <from>
                    <xdr:col>7</xdr:col>
                    <xdr:colOff>0</xdr:colOff>
                    <xdr:row>16</xdr:row>
                    <xdr:rowOff>0</xdr:rowOff>
                  </from>
                  <to>
                    <xdr:col>7</xdr:col>
                    <xdr:colOff>1838325</xdr:colOff>
                    <xdr:row>16</xdr:row>
                    <xdr:rowOff>200025</xdr:rowOff>
                  </to>
                </anchor>
              </controlPr>
            </control>
          </mc:Choice>
        </mc:AlternateContent>
        <mc:AlternateContent xmlns:mc="http://schemas.openxmlformats.org/markup-compatibility/2006">
          <mc:Choice Requires="x14">
            <control shapeId="16433" r:id="rId10" name="Drop Down 49">
              <controlPr defaultSize="0" autoLine="0" autoPict="0">
                <anchor moveWithCells="1">
                  <from>
                    <xdr:col>7</xdr:col>
                    <xdr:colOff>0</xdr:colOff>
                    <xdr:row>18</xdr:row>
                    <xdr:rowOff>0</xdr:rowOff>
                  </from>
                  <to>
                    <xdr:col>7</xdr:col>
                    <xdr:colOff>1838325</xdr:colOff>
                    <xdr:row>18</xdr:row>
                    <xdr:rowOff>200025</xdr:rowOff>
                  </to>
                </anchor>
              </controlPr>
            </control>
          </mc:Choice>
        </mc:AlternateContent>
        <mc:AlternateContent xmlns:mc="http://schemas.openxmlformats.org/markup-compatibility/2006">
          <mc:Choice Requires="x14">
            <control shapeId="16434" r:id="rId11" name="Drop Down 50">
              <controlPr defaultSize="0" autoLine="0" autoPict="0">
                <anchor moveWithCells="1">
                  <from>
                    <xdr:col>7</xdr:col>
                    <xdr:colOff>0</xdr:colOff>
                    <xdr:row>20</xdr:row>
                    <xdr:rowOff>0</xdr:rowOff>
                  </from>
                  <to>
                    <xdr:col>7</xdr:col>
                    <xdr:colOff>1838325</xdr:colOff>
                    <xdr:row>20</xdr:row>
                    <xdr:rowOff>200025</xdr:rowOff>
                  </to>
                </anchor>
              </controlPr>
            </control>
          </mc:Choice>
        </mc:AlternateContent>
        <mc:AlternateContent xmlns:mc="http://schemas.openxmlformats.org/markup-compatibility/2006">
          <mc:Choice Requires="x14">
            <control shapeId="16435" r:id="rId12" name="Drop Down 51">
              <controlPr defaultSize="0" autoLine="0" autoPict="0">
                <anchor moveWithCells="1">
                  <from>
                    <xdr:col>7</xdr:col>
                    <xdr:colOff>9525</xdr:colOff>
                    <xdr:row>21</xdr:row>
                    <xdr:rowOff>200025</xdr:rowOff>
                  </from>
                  <to>
                    <xdr:col>7</xdr:col>
                    <xdr:colOff>1847850</xdr:colOff>
                    <xdr:row>22</xdr:row>
                    <xdr:rowOff>180975</xdr:rowOff>
                  </to>
                </anchor>
              </controlPr>
            </control>
          </mc:Choice>
        </mc:AlternateContent>
        <mc:AlternateContent xmlns:mc="http://schemas.openxmlformats.org/markup-compatibility/2006">
          <mc:Choice Requires="x14">
            <control shapeId="16441" r:id="rId13" name="Drop Down 57">
              <controlPr defaultSize="0" autoLine="0" autoPict="0">
                <anchor moveWithCells="1">
                  <from>
                    <xdr:col>7</xdr:col>
                    <xdr:colOff>9525</xdr:colOff>
                    <xdr:row>29</xdr:row>
                    <xdr:rowOff>47625</xdr:rowOff>
                  </from>
                  <to>
                    <xdr:col>7</xdr:col>
                    <xdr:colOff>1847850</xdr:colOff>
                    <xdr:row>30</xdr:row>
                    <xdr:rowOff>28575</xdr:rowOff>
                  </to>
                </anchor>
              </controlPr>
            </control>
          </mc:Choice>
        </mc:AlternateContent>
        <mc:AlternateContent xmlns:mc="http://schemas.openxmlformats.org/markup-compatibility/2006">
          <mc:Choice Requires="x14">
            <control shapeId="16442" r:id="rId14" name="Drop Down 58">
              <controlPr defaultSize="0" autoLine="0" autoPict="0">
                <anchor moveWithCells="1">
                  <from>
                    <xdr:col>7</xdr:col>
                    <xdr:colOff>9525</xdr:colOff>
                    <xdr:row>31</xdr:row>
                    <xdr:rowOff>19050</xdr:rowOff>
                  </from>
                  <to>
                    <xdr:col>7</xdr:col>
                    <xdr:colOff>1847850</xdr:colOff>
                    <xdr:row>32</xdr:row>
                    <xdr:rowOff>0</xdr:rowOff>
                  </to>
                </anchor>
              </controlPr>
            </control>
          </mc:Choice>
        </mc:AlternateContent>
        <mc:AlternateContent xmlns:mc="http://schemas.openxmlformats.org/markup-compatibility/2006">
          <mc:Choice Requires="x14">
            <control shapeId="16443" r:id="rId15" name="Drop Down 59">
              <controlPr defaultSize="0" autoLine="0" autoPict="0">
                <anchor moveWithCells="1">
                  <from>
                    <xdr:col>7</xdr:col>
                    <xdr:colOff>0</xdr:colOff>
                    <xdr:row>33</xdr:row>
                    <xdr:rowOff>28575</xdr:rowOff>
                  </from>
                  <to>
                    <xdr:col>7</xdr:col>
                    <xdr:colOff>1838325</xdr:colOff>
                    <xdr:row>34</xdr:row>
                    <xdr:rowOff>9525</xdr:rowOff>
                  </to>
                </anchor>
              </controlPr>
            </control>
          </mc:Choice>
        </mc:AlternateContent>
        <mc:AlternateContent xmlns:mc="http://schemas.openxmlformats.org/markup-compatibility/2006">
          <mc:Choice Requires="x14">
            <control shapeId="16444" r:id="rId16" name="Drop Down 60">
              <controlPr defaultSize="0" autoLine="0" autoPict="0">
                <anchor moveWithCells="1">
                  <from>
                    <xdr:col>7</xdr:col>
                    <xdr:colOff>28575</xdr:colOff>
                    <xdr:row>35</xdr:row>
                    <xdr:rowOff>19050</xdr:rowOff>
                  </from>
                  <to>
                    <xdr:col>7</xdr:col>
                    <xdr:colOff>1866900</xdr:colOff>
                    <xdr:row>36</xdr:row>
                    <xdr:rowOff>0</xdr:rowOff>
                  </to>
                </anchor>
              </controlPr>
            </control>
          </mc:Choice>
        </mc:AlternateContent>
        <mc:AlternateContent xmlns:mc="http://schemas.openxmlformats.org/markup-compatibility/2006">
          <mc:Choice Requires="x14">
            <control shapeId="16445" r:id="rId17" name="Drop Down 61">
              <controlPr defaultSize="0" autoLine="0" autoPict="0">
                <anchor moveWithCells="1">
                  <from>
                    <xdr:col>24</xdr:col>
                    <xdr:colOff>0</xdr:colOff>
                    <xdr:row>28</xdr:row>
                    <xdr:rowOff>0</xdr:rowOff>
                  </from>
                  <to>
                    <xdr:col>24</xdr:col>
                    <xdr:colOff>1838325</xdr:colOff>
                    <xdr:row>28</xdr:row>
                    <xdr:rowOff>200025</xdr:rowOff>
                  </to>
                </anchor>
              </controlPr>
            </control>
          </mc:Choice>
        </mc:AlternateContent>
        <mc:AlternateContent xmlns:mc="http://schemas.openxmlformats.org/markup-compatibility/2006">
          <mc:Choice Requires="x14">
            <control shapeId="16446" r:id="rId18" name="Drop Down 62">
              <controlPr defaultSize="0" autoLine="0" autoPict="0">
                <anchor moveWithCells="1">
                  <from>
                    <xdr:col>24</xdr:col>
                    <xdr:colOff>0</xdr:colOff>
                    <xdr:row>30</xdr:row>
                    <xdr:rowOff>0</xdr:rowOff>
                  </from>
                  <to>
                    <xdr:col>24</xdr:col>
                    <xdr:colOff>1838325</xdr:colOff>
                    <xdr:row>30</xdr:row>
                    <xdr:rowOff>200025</xdr:rowOff>
                  </to>
                </anchor>
              </controlPr>
            </control>
          </mc:Choice>
        </mc:AlternateContent>
        <mc:AlternateContent xmlns:mc="http://schemas.openxmlformats.org/markup-compatibility/2006">
          <mc:Choice Requires="x14">
            <control shapeId="16447" r:id="rId19" name="Drop Down 63">
              <controlPr defaultSize="0" autoLine="0" autoPict="0">
                <anchor moveWithCells="1">
                  <from>
                    <xdr:col>24</xdr:col>
                    <xdr:colOff>0</xdr:colOff>
                    <xdr:row>32</xdr:row>
                    <xdr:rowOff>0</xdr:rowOff>
                  </from>
                  <to>
                    <xdr:col>24</xdr:col>
                    <xdr:colOff>1838325</xdr:colOff>
                    <xdr:row>32</xdr:row>
                    <xdr:rowOff>200025</xdr:rowOff>
                  </to>
                </anchor>
              </controlPr>
            </control>
          </mc:Choice>
        </mc:AlternateContent>
        <mc:AlternateContent xmlns:mc="http://schemas.openxmlformats.org/markup-compatibility/2006">
          <mc:Choice Requires="x14">
            <control shapeId="16448" r:id="rId20" name="Drop Down 64">
              <controlPr defaultSize="0" autoLine="0" autoPict="0">
                <anchor moveWithCells="1">
                  <from>
                    <xdr:col>24</xdr:col>
                    <xdr:colOff>9525</xdr:colOff>
                    <xdr:row>33</xdr:row>
                    <xdr:rowOff>200025</xdr:rowOff>
                  </from>
                  <to>
                    <xdr:col>24</xdr:col>
                    <xdr:colOff>1847850</xdr:colOff>
                    <xdr:row>34</xdr:row>
                    <xdr:rowOff>180975</xdr:rowOff>
                  </to>
                </anchor>
              </controlPr>
            </control>
          </mc:Choice>
        </mc:AlternateContent>
        <mc:AlternateContent xmlns:mc="http://schemas.openxmlformats.org/markup-compatibility/2006">
          <mc:Choice Requires="x14">
            <control shapeId="16453" r:id="rId21" name="Drop Down 69">
              <controlPr defaultSize="0" autoLine="0" autoPict="0">
                <anchor moveWithCells="1">
                  <from>
                    <xdr:col>24</xdr:col>
                    <xdr:colOff>0</xdr:colOff>
                    <xdr:row>43</xdr:row>
                    <xdr:rowOff>0</xdr:rowOff>
                  </from>
                  <to>
                    <xdr:col>24</xdr:col>
                    <xdr:colOff>1838325</xdr:colOff>
                    <xdr:row>43</xdr:row>
                    <xdr:rowOff>200025</xdr:rowOff>
                  </to>
                </anchor>
              </controlPr>
            </control>
          </mc:Choice>
        </mc:AlternateContent>
        <mc:AlternateContent xmlns:mc="http://schemas.openxmlformats.org/markup-compatibility/2006">
          <mc:Choice Requires="x14">
            <control shapeId="16454" r:id="rId22" name="Drop Down 70">
              <controlPr defaultSize="0" autoLine="0" autoPict="0">
                <anchor moveWithCells="1">
                  <from>
                    <xdr:col>24</xdr:col>
                    <xdr:colOff>0</xdr:colOff>
                    <xdr:row>45</xdr:row>
                    <xdr:rowOff>0</xdr:rowOff>
                  </from>
                  <to>
                    <xdr:col>24</xdr:col>
                    <xdr:colOff>1838325</xdr:colOff>
                    <xdr:row>45</xdr:row>
                    <xdr:rowOff>200025</xdr:rowOff>
                  </to>
                </anchor>
              </controlPr>
            </control>
          </mc:Choice>
        </mc:AlternateContent>
        <mc:AlternateContent xmlns:mc="http://schemas.openxmlformats.org/markup-compatibility/2006">
          <mc:Choice Requires="x14">
            <control shapeId="16455" r:id="rId23" name="Drop Down 71">
              <controlPr defaultSize="0" autoLine="0" autoPict="0">
                <anchor moveWithCells="1">
                  <from>
                    <xdr:col>24</xdr:col>
                    <xdr:colOff>0</xdr:colOff>
                    <xdr:row>47</xdr:row>
                    <xdr:rowOff>0</xdr:rowOff>
                  </from>
                  <to>
                    <xdr:col>24</xdr:col>
                    <xdr:colOff>1838325</xdr:colOff>
                    <xdr:row>47</xdr:row>
                    <xdr:rowOff>200025</xdr:rowOff>
                  </to>
                </anchor>
              </controlPr>
            </control>
          </mc:Choice>
        </mc:AlternateContent>
        <mc:AlternateContent xmlns:mc="http://schemas.openxmlformats.org/markup-compatibility/2006">
          <mc:Choice Requires="x14">
            <control shapeId="16456" r:id="rId24" name="Drop Down 72">
              <controlPr defaultSize="0" autoLine="0" autoPict="0">
                <anchor moveWithCells="1">
                  <from>
                    <xdr:col>24</xdr:col>
                    <xdr:colOff>9525</xdr:colOff>
                    <xdr:row>49</xdr:row>
                    <xdr:rowOff>0</xdr:rowOff>
                  </from>
                  <to>
                    <xdr:col>24</xdr:col>
                    <xdr:colOff>1847850</xdr:colOff>
                    <xdr:row>49</xdr:row>
                    <xdr:rowOff>200025</xdr:rowOff>
                  </to>
                </anchor>
              </controlPr>
            </control>
          </mc:Choice>
        </mc:AlternateContent>
        <mc:AlternateContent xmlns:mc="http://schemas.openxmlformats.org/markup-compatibility/2006">
          <mc:Choice Requires="x14">
            <control shapeId="16457" r:id="rId25" name="Drop Down 73">
              <controlPr defaultSize="0" autoLine="0" autoPict="0">
                <anchor moveWithCells="1">
                  <from>
                    <xdr:col>23</xdr:col>
                    <xdr:colOff>600075</xdr:colOff>
                    <xdr:row>20</xdr:row>
                    <xdr:rowOff>38100</xdr:rowOff>
                  </from>
                  <to>
                    <xdr:col>24</xdr:col>
                    <xdr:colOff>1828800</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tabColor theme="6" tint="0.59999389629810485"/>
  </sheetPr>
  <dimension ref="A1:J41"/>
  <sheetViews>
    <sheetView topLeftCell="A13" workbookViewId="0">
      <selection activeCell="B30" sqref="B30"/>
    </sheetView>
  </sheetViews>
  <sheetFormatPr defaultRowHeight="15" x14ac:dyDescent="0.25"/>
  <cols>
    <col min="1" max="1" width="29" style="5" customWidth="1"/>
    <col min="2" max="2" width="19.42578125" style="5" customWidth="1"/>
    <col min="3" max="3" width="8.85546875" style="5" bestFit="1" customWidth="1"/>
    <col min="4" max="4" width="9.140625" style="5"/>
    <col min="5" max="5" width="30.42578125" style="5" customWidth="1"/>
    <col min="6" max="6" width="20" style="5" customWidth="1"/>
    <col min="7" max="7" width="8.85546875" style="5" bestFit="1" customWidth="1"/>
    <col min="8" max="8" width="32.28515625" style="5" customWidth="1"/>
    <col min="9" max="9" width="28.140625" style="5" customWidth="1"/>
    <col min="10" max="10" width="11.28515625" style="5" bestFit="1" customWidth="1"/>
    <col min="11" max="16384" width="9.140625" style="5"/>
  </cols>
  <sheetData>
    <row r="1" spans="1:10" ht="21" x14ac:dyDescent="0.35">
      <c r="A1" s="27" t="s">
        <v>275</v>
      </c>
      <c r="E1" s="27" t="s">
        <v>274</v>
      </c>
    </row>
    <row r="2" spans="1:10" x14ac:dyDescent="0.25">
      <c r="C2" s="22"/>
    </row>
    <row r="3" spans="1:10" s="73" customFormat="1" ht="18.75" x14ac:dyDescent="0.3">
      <c r="A3" s="72" t="s">
        <v>16</v>
      </c>
      <c r="B3" s="414" t="e">
        <f>VLOOKUP(Indtastningsark_halm!AL4,Rådata!#REF!,2)</f>
        <v>#REF!</v>
      </c>
      <c r="C3" s="415"/>
      <c r="D3" s="214"/>
      <c r="E3" s="213" t="s">
        <v>16</v>
      </c>
      <c r="F3" s="416" t="s">
        <v>250</v>
      </c>
      <c r="G3" s="416"/>
      <c r="I3" s="273"/>
      <c r="J3" s="273"/>
    </row>
    <row r="4" spans="1:10" x14ac:dyDescent="0.25">
      <c r="I4" s="22"/>
    </row>
    <row r="6" spans="1:10" x14ac:dyDescent="0.25">
      <c r="A6" s="127" t="s">
        <v>254</v>
      </c>
      <c r="B6" s="253">
        <f>HøstUdbytte</f>
        <v>1352</v>
      </c>
      <c r="C6" s="127" t="s">
        <v>240</v>
      </c>
      <c r="D6" s="127"/>
      <c r="E6" s="127"/>
      <c r="F6" s="254">
        <f>HøstUdbytte</f>
        <v>1352</v>
      </c>
      <c r="G6" s="127" t="s">
        <v>240</v>
      </c>
      <c r="I6" s="5" t="s">
        <v>321</v>
      </c>
      <c r="J6" s="5" t="str">
        <f>AfstandLager&amp;" km med traktor med frontlæsser og halmvogn"</f>
        <v>0,5 km med traktor med frontlæsser og halmvogn</v>
      </c>
    </row>
    <row r="7" spans="1:10" x14ac:dyDescent="0.25">
      <c r="A7" s="127"/>
      <c r="B7" s="253"/>
      <c r="C7" s="127"/>
      <c r="D7" s="127"/>
      <c r="E7" s="127"/>
      <c r="F7" s="254"/>
      <c r="G7" s="127"/>
      <c r="I7" s="5" t="s">
        <v>418</v>
      </c>
    </row>
    <row r="8" spans="1:10" x14ac:dyDescent="0.25">
      <c r="A8" s="127" t="s">
        <v>279</v>
      </c>
      <c r="B8" s="253"/>
      <c r="C8" s="127"/>
      <c r="D8" s="127"/>
      <c r="E8" s="127"/>
      <c r="F8" s="254"/>
      <c r="G8" s="127"/>
      <c r="I8" s="5" t="s">
        <v>101</v>
      </c>
    </row>
    <row r="9" spans="1:10" x14ac:dyDescent="0.25">
      <c r="A9" s="5" t="s">
        <v>387</v>
      </c>
      <c r="B9" s="62">
        <f>IF(Behandling=2,CEILING(HøstUdbytte/BrKap,1),IF(Behandling=1,CEILING(HøstUdbytte/Eks_Kap,1),0))</f>
        <v>1</v>
      </c>
      <c r="C9" s="5" t="s">
        <v>242</v>
      </c>
      <c r="F9" s="5">
        <f>CEILING(HøstUdbytte/PresserKap,1)</f>
        <v>1</v>
      </c>
      <c r="G9" s="5" t="s">
        <v>242</v>
      </c>
    </row>
    <row r="10" spans="1:10" x14ac:dyDescent="0.25">
      <c r="A10" s="5" t="s">
        <v>416</v>
      </c>
      <c r="B10" s="77">
        <f>IF(Behandling=2,BrKap*AntalEkBr,IF(Behandling=1,Eks_Kap*AntalEkBr,0))</f>
        <v>10000</v>
      </c>
      <c r="C10" s="5" t="s">
        <v>240</v>
      </c>
      <c r="F10" s="74">
        <f>PresserKap*BrAntal</f>
        <v>10000</v>
      </c>
      <c r="G10" s="5" t="s">
        <v>278</v>
      </c>
      <c r="J10" s="70"/>
    </row>
    <row r="11" spans="1:10" x14ac:dyDescent="0.25">
      <c r="A11" s="5" t="s">
        <v>417</v>
      </c>
      <c r="B11" s="77">
        <f>B6/EksForb*100</f>
        <v>13.52</v>
      </c>
      <c r="C11" s="5" t="s">
        <v>391</v>
      </c>
      <c r="F11" s="70">
        <f>F6/F10*100</f>
        <v>13.52</v>
      </c>
      <c r="G11" s="272" t="s">
        <v>391</v>
      </c>
      <c r="J11" s="70"/>
    </row>
    <row r="12" spans="1:10" x14ac:dyDescent="0.25">
      <c r="A12" s="5" t="s">
        <v>362</v>
      </c>
      <c r="B12" s="71">
        <f>IF(Behandling=2,-PMT(Rente,Br_Levetid,BrPrisSamlet),IF(Behandling=1,-PMT(Rente,Eks_levetid,Eks_pris),0))</f>
        <v>-626589.87158614898</v>
      </c>
      <c r="C12" s="5" t="s">
        <v>241</v>
      </c>
      <c r="F12" s="75">
        <f>-PMT(Rente,Br_Levetid,BrPrisSamlet)</f>
        <v>-626589.87158614898</v>
      </c>
      <c r="G12" s="5" t="s">
        <v>241</v>
      </c>
    </row>
    <row r="13" spans="1:10" x14ac:dyDescent="0.25">
      <c r="A13" s="5" t="s">
        <v>388</v>
      </c>
      <c r="B13" s="71">
        <f>IF(Behandling=1,0,IF(Indtastningsark_halm!AL4=2,BrPrisSamlet*Afskrivning,Eks_pris*Afskrivning))</f>
        <v>-472300</v>
      </c>
      <c r="C13" s="5" t="s">
        <v>241</v>
      </c>
      <c r="F13" s="76">
        <f>(BrPrisSamlet)*Afskrivning</f>
        <v>-472300</v>
      </c>
      <c r="G13" s="5" t="s">
        <v>241</v>
      </c>
      <c r="J13" s="70"/>
    </row>
    <row r="14" spans="1:10" x14ac:dyDescent="0.25">
      <c r="A14" s="63" t="s">
        <v>276</v>
      </c>
      <c r="J14" s="69"/>
    </row>
    <row r="15" spans="1:10" x14ac:dyDescent="0.25">
      <c r="A15" s="63"/>
      <c r="J15" s="69"/>
    </row>
    <row r="16" spans="1:10" x14ac:dyDescent="0.25">
      <c r="A16" s="9"/>
      <c r="J16" s="69"/>
    </row>
    <row r="17" spans="1:10" x14ac:dyDescent="0.25">
      <c r="J17" s="70"/>
    </row>
    <row r="18" spans="1:10" x14ac:dyDescent="0.25">
      <c r="A18" s="6" t="s">
        <v>188</v>
      </c>
      <c r="E18" s="6" t="s">
        <v>188</v>
      </c>
    </row>
    <row r="20" spans="1:10" x14ac:dyDescent="0.25">
      <c r="A20" s="223" t="s">
        <v>329</v>
      </c>
      <c r="B20" s="224">
        <f>Sammenrivning+Bigballepresning</f>
        <v>-145.45454545454544</v>
      </c>
      <c r="C20" s="225" t="s">
        <v>346</v>
      </c>
      <c r="D20" s="217"/>
      <c r="E20" s="223" t="s">
        <v>329</v>
      </c>
      <c r="F20" s="227">
        <f>Sammenrivning+Bigballepresning</f>
        <v>-145.45454545454544</v>
      </c>
      <c r="G20" s="215" t="s">
        <v>346</v>
      </c>
    </row>
    <row r="21" spans="1:10" x14ac:dyDescent="0.25">
      <c r="A21" s="223" t="s">
        <v>384</v>
      </c>
      <c r="B21" s="228" t="e">
        <f>Indtastningsark_halm!T25/B6</f>
        <v>#REF!</v>
      </c>
      <c r="C21" s="225" t="s">
        <v>346</v>
      </c>
      <c r="D21" s="217"/>
      <c r="E21" s="223" t="s">
        <v>384</v>
      </c>
      <c r="F21" s="227" t="e">
        <f>Indtastningsark_halm!AK37/F6</f>
        <v>#REF!</v>
      </c>
      <c r="G21" s="215" t="s">
        <v>346</v>
      </c>
    </row>
    <row r="22" spans="1:10" x14ac:dyDescent="0.25">
      <c r="A22" s="223" t="s">
        <v>385</v>
      </c>
      <c r="B22" s="228" t="e">
        <f>Indtastningsark_halm!T38/B6</f>
        <v>#REF!</v>
      </c>
      <c r="C22" s="225" t="s">
        <v>346</v>
      </c>
      <c r="D22" s="217"/>
      <c r="E22" s="223" t="s">
        <v>385</v>
      </c>
      <c r="F22" s="227" t="e">
        <f>Indtastningsark_halm!AK52/F6</f>
        <v>#REF!</v>
      </c>
      <c r="G22" s="215" t="s">
        <v>346</v>
      </c>
    </row>
    <row r="23" spans="1:10" x14ac:dyDescent="0.25">
      <c r="A23" s="223" t="s">
        <v>1</v>
      </c>
      <c r="B23" s="228" t="e">
        <f>(Frontlæssehast_mark*TraktorPrisLager/60)+(Frontlæsse_hast*TraktorPrisLager/60)+2*(AfstandLager*TraktorPrisLager/(Traktor_Hastighed_mark*Bigballe_Kap_1mand_Ton))+(LæsseHastLand*(TransAnlægPris+LæsseLandPris)/60)+(LæsseHastAnlæg*(TransAnlægPris+LæsseAnlægPris)/60)+2*(AfstandAnlæg*TransAnlægPris/(AnlægKMperTIME*AnlægTransportKapNY))</f>
        <v>#REF!</v>
      </c>
      <c r="C23" s="229" t="s">
        <v>346</v>
      </c>
      <c r="D23" s="217"/>
      <c r="E23" s="223" t="s">
        <v>1</v>
      </c>
      <c r="F23" s="227" t="e">
        <f>(Frontlæssehast_mark*TraktorPrisLager/60)+2*(AfstandBrSt*TraktorPrisLager/(TraktorHastVej*KapBigballer))+(Frontlæsse_hast*TraktorPrisLager/60)+(BrLæssetimepris*BrLæsseKap/60)+(BrLæsseKap*BrTipvogn/60)+2*(BrAfstand*BrTipvogn/(LastbilHast*BrTipKap))+(BrAflæsKap*BrTipvogn/60)</f>
        <v>#REF!</v>
      </c>
      <c r="G23" s="216" t="s">
        <v>346</v>
      </c>
    </row>
    <row r="24" spans="1:10" x14ac:dyDescent="0.25">
      <c r="A24" s="223" t="s">
        <v>279</v>
      </c>
      <c r="B24" s="228">
        <f>IF(Behandling=1,AntalEkBr*(YdelseMaskiner+EX_forsik+(Ex_driftogVedlige/HøstUdbytte))/HøstUdbytte,IF(Behandling=2,AntalEkBr*(YdelseMaskiner+Br_Forsik+((BrVedlige+BrDriftTon)/HøstUdbytte))/HøstUdbytte,0))</f>
        <v>-500.4363371295612</v>
      </c>
      <c r="C24" s="230" t="s">
        <v>346</v>
      </c>
      <c r="D24" s="217"/>
      <c r="E24" s="223" t="s">
        <v>279</v>
      </c>
      <c r="F24" s="227">
        <f>BrAntal*(BrYdelse+Br_Forsik+((BrVedlige+BrDriftTon)/HøstUdbytte))/HøstUdbytte</f>
        <v>-500.4363371295612</v>
      </c>
      <c r="G24" s="216" t="s">
        <v>346</v>
      </c>
    </row>
    <row r="25" spans="1:10" x14ac:dyDescent="0.25">
      <c r="A25" s="223" t="s">
        <v>376</v>
      </c>
      <c r="B25" s="228" t="e">
        <f>SUM(B20:B24)</f>
        <v>#REF!</v>
      </c>
      <c r="C25" s="230" t="s">
        <v>346</v>
      </c>
      <c r="D25" s="217"/>
      <c r="E25" s="223" t="s">
        <v>376</v>
      </c>
      <c r="F25" s="227" t="e">
        <f>SUM(F20:F24)</f>
        <v>#REF!</v>
      </c>
      <c r="G25" s="216" t="s">
        <v>346</v>
      </c>
    </row>
    <row r="26" spans="1:10" x14ac:dyDescent="0.25">
      <c r="A26" s="246" t="s">
        <v>375</v>
      </c>
      <c r="B26" s="247" t="e">
        <f>B25*HøstUdbytte</f>
        <v>#REF!</v>
      </c>
      <c r="C26" s="248" t="s">
        <v>299</v>
      </c>
      <c r="D26" s="217"/>
      <c r="E26" s="246" t="s">
        <v>375</v>
      </c>
      <c r="F26" s="249" t="e">
        <f>F25*#REF!*#REF!</f>
        <v>#REF!</v>
      </c>
      <c r="G26" s="250" t="s">
        <v>299</v>
      </c>
    </row>
    <row r="27" spans="1:10" x14ac:dyDescent="0.25">
      <c r="A27" s="217"/>
      <c r="B27" s="217"/>
      <c r="C27" s="217"/>
      <c r="D27" s="217"/>
      <c r="E27" s="217"/>
      <c r="F27" s="217"/>
      <c r="G27" s="217"/>
    </row>
    <row r="28" spans="1:10" x14ac:dyDescent="0.25">
      <c r="A28" s="6" t="s">
        <v>386</v>
      </c>
      <c r="B28" s="217"/>
      <c r="C28" s="217"/>
      <c r="D28" s="217"/>
      <c r="E28" s="6" t="s">
        <v>386</v>
      </c>
      <c r="F28" s="217"/>
      <c r="G28" s="217"/>
    </row>
    <row r="29" spans="1:10" x14ac:dyDescent="0.25">
      <c r="A29" s="217"/>
      <c r="B29" s="217"/>
      <c r="C29" s="218"/>
      <c r="D29" s="217"/>
      <c r="E29" s="217"/>
      <c r="F29" s="217"/>
      <c r="G29" s="218"/>
    </row>
    <row r="30" spans="1:10" x14ac:dyDescent="0.25">
      <c r="A30" s="226" t="s">
        <v>378</v>
      </c>
      <c r="B30" s="222">
        <f>IF(Indtastningsark_halm!AL4=3, EnergiMetan*VS*MetanHvedehalm,IF(Indtastningsark_halm!AL4=2, EnergiMetan*VS*MetanBr, EnergiMetan*VS*Forudsætninger_Hvede!W16))</f>
        <v>2631.5</v>
      </c>
      <c r="C30" s="225" t="s">
        <v>377</v>
      </c>
      <c r="D30" s="217"/>
      <c r="E30" s="226" t="s">
        <v>378</v>
      </c>
      <c r="F30" s="222">
        <f>EnergiMetan*MetanBr*VS</f>
        <v>2631.5</v>
      </c>
      <c r="G30" s="225" t="s">
        <v>377</v>
      </c>
    </row>
    <row r="31" spans="1:10" x14ac:dyDescent="0.25">
      <c r="A31" s="233" t="s">
        <v>382</v>
      </c>
      <c r="B31" s="227">
        <f>$B$30*Elprocent</f>
        <v>1052.6000000000001</v>
      </c>
      <c r="C31" s="225" t="s">
        <v>377</v>
      </c>
      <c r="D31" s="217"/>
      <c r="E31" s="233" t="s">
        <v>382</v>
      </c>
      <c r="F31" s="227">
        <f>$F$30*Elprocent</f>
        <v>1052.6000000000001</v>
      </c>
      <c r="G31" s="231" t="s">
        <v>377</v>
      </c>
    </row>
    <row r="32" spans="1:10" x14ac:dyDescent="0.25">
      <c r="A32" s="233" t="s">
        <v>381</v>
      </c>
      <c r="B32" s="227">
        <f>$B$30*Varmeprocent</f>
        <v>1315.75</v>
      </c>
      <c r="C32" s="225" t="s">
        <v>377</v>
      </c>
      <c r="D32" s="217"/>
      <c r="E32" s="233" t="s">
        <v>381</v>
      </c>
      <c r="F32" s="227">
        <f>$F$30*Varmeprocent</f>
        <v>1315.75</v>
      </c>
      <c r="G32" s="231" t="s">
        <v>377</v>
      </c>
    </row>
    <row r="33" spans="1:8" x14ac:dyDescent="0.25">
      <c r="A33" s="226" t="s">
        <v>379</v>
      </c>
      <c r="B33" s="227">
        <f>B31*Elpris</f>
        <v>1168.3860000000002</v>
      </c>
      <c r="C33" s="229" t="s">
        <v>346</v>
      </c>
      <c r="D33" s="219"/>
      <c r="E33" s="226" t="s">
        <v>379</v>
      </c>
      <c r="F33" s="227">
        <f>F31*Elpris</f>
        <v>1168.3860000000002</v>
      </c>
      <c r="G33" s="229" t="s">
        <v>346</v>
      </c>
    </row>
    <row r="34" spans="1:8" x14ac:dyDescent="0.25">
      <c r="A34" s="226" t="s">
        <v>380</v>
      </c>
      <c r="B34" s="227">
        <f>B32*Varmepris</f>
        <v>328.9375</v>
      </c>
      <c r="C34" s="225" t="s">
        <v>346</v>
      </c>
      <c r="D34" s="217"/>
      <c r="E34" s="226" t="s">
        <v>380</v>
      </c>
      <c r="F34" s="227">
        <f>F32*Varmepris</f>
        <v>328.9375</v>
      </c>
      <c r="G34" s="230" t="s">
        <v>346</v>
      </c>
    </row>
    <row r="35" spans="1:8" x14ac:dyDescent="0.25">
      <c r="A35" s="226" t="s">
        <v>383</v>
      </c>
      <c r="B35" s="227">
        <f>B33+B34</f>
        <v>1497.3235000000002</v>
      </c>
      <c r="C35" s="229" t="s">
        <v>346</v>
      </c>
      <c r="D35" s="217"/>
      <c r="E35" s="226" t="s">
        <v>383</v>
      </c>
      <c r="F35" s="227">
        <f>F33+F34</f>
        <v>1497.3235000000002</v>
      </c>
      <c r="G35" s="225" t="s">
        <v>346</v>
      </c>
    </row>
    <row r="36" spans="1:8" x14ac:dyDescent="0.25">
      <c r="A36" s="251" t="s">
        <v>389</v>
      </c>
      <c r="B36" s="249">
        <f>B35*HøstUdbytte</f>
        <v>2024381.3720000002</v>
      </c>
      <c r="C36" s="248" t="s">
        <v>299</v>
      </c>
      <c r="D36" s="217"/>
      <c r="E36" s="251" t="s">
        <v>389</v>
      </c>
      <c r="F36" s="252">
        <f>F35*HøstUdbytte</f>
        <v>2024381.3720000002</v>
      </c>
      <c r="G36" s="248" t="s">
        <v>299</v>
      </c>
      <c r="H36" s="132"/>
    </row>
    <row r="37" spans="1:8" x14ac:dyDescent="0.25">
      <c r="A37" s="217"/>
      <c r="B37" s="220"/>
      <c r="C37" s="232"/>
      <c r="D37" s="217"/>
      <c r="E37" s="217"/>
      <c r="F37" s="220"/>
      <c r="G37" s="232"/>
      <c r="H37" s="22"/>
    </row>
    <row r="38" spans="1:8" x14ac:dyDescent="0.25">
      <c r="A38" s="243" t="s">
        <v>102</v>
      </c>
      <c r="B38" s="244" t="e">
        <f>B36+B26</f>
        <v>#REF!</v>
      </c>
      <c r="C38" s="245" t="s">
        <v>299</v>
      </c>
      <c r="D38" s="221"/>
      <c r="E38" s="243" t="s">
        <v>102</v>
      </c>
      <c r="F38" s="244" t="e">
        <f>F36+F26</f>
        <v>#REF!</v>
      </c>
      <c r="G38" s="245" t="s">
        <v>299</v>
      </c>
      <c r="H38" s="132"/>
    </row>
    <row r="39" spans="1:8" x14ac:dyDescent="0.25">
      <c r="B39" s="22"/>
      <c r="C39" s="129"/>
      <c r="G39" s="129"/>
    </row>
    <row r="40" spans="1:8" x14ac:dyDescent="0.25">
      <c r="B40" s="22"/>
    </row>
    <row r="41" spans="1:8" x14ac:dyDescent="0.25">
      <c r="B41" s="22"/>
    </row>
  </sheetData>
  <mergeCells count="2">
    <mergeCell ref="B3:C3"/>
    <mergeCell ref="F3:G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TilbageTilHalmIndtastning">
                <anchor moveWithCells="1" sizeWithCells="1">
                  <from>
                    <xdr:col>7</xdr:col>
                    <xdr:colOff>781050</xdr:colOff>
                    <xdr:row>27</xdr:row>
                    <xdr:rowOff>104775</xdr:rowOff>
                  </from>
                  <to>
                    <xdr:col>8</xdr:col>
                    <xdr:colOff>409575</xdr:colOff>
                    <xdr:row>29</xdr:row>
                    <xdr:rowOff>85725</xdr:rowOff>
                  </to>
                </anchor>
              </controlPr>
            </control>
          </mc:Choice>
        </mc:AlternateContent>
        <mc:AlternateContent xmlns:mc="http://schemas.openxmlformats.org/markup-compatibility/2006">
          <mc:Choice Requires="x14">
            <control shapeId="21506" r:id="rId5" name="Button 2">
              <controlPr defaultSize="0" print="0" autoFill="0" autoPict="0" macro="[0]!TilbageTilHovedmenuFraHalm">
                <anchor moveWithCells="1" sizeWithCells="1">
                  <from>
                    <xdr:col>8</xdr:col>
                    <xdr:colOff>514350</xdr:colOff>
                    <xdr:row>27</xdr:row>
                    <xdr:rowOff>85725</xdr:rowOff>
                  </from>
                  <to>
                    <xdr:col>9</xdr:col>
                    <xdr:colOff>361950</xdr:colOff>
                    <xdr:row>29</xdr:row>
                    <xdr:rowOff>66675</xdr:rowOff>
                  </to>
                </anchor>
              </controlPr>
            </control>
          </mc:Choice>
        </mc:AlternateContent>
        <mc:AlternateContent xmlns:mc="http://schemas.openxmlformats.org/markup-compatibility/2006">
          <mc:Choice Requires="x14">
            <control shapeId="21508" r:id="rId6" name="Button 4">
              <controlPr defaultSize="0" print="0" autoFill="0" autoPict="0" macro="[0]!TilFølsomhedanalyseTransportAfstand">
                <anchor moveWithCells="1" sizeWithCells="1">
                  <from>
                    <xdr:col>7</xdr:col>
                    <xdr:colOff>771525</xdr:colOff>
                    <xdr:row>37</xdr:row>
                    <xdr:rowOff>152400</xdr:rowOff>
                  </from>
                  <to>
                    <xdr:col>8</xdr:col>
                    <xdr:colOff>361950</xdr:colOff>
                    <xdr:row>41</xdr:row>
                    <xdr:rowOff>57150</xdr:rowOff>
                  </to>
                </anchor>
              </controlPr>
            </control>
          </mc:Choice>
        </mc:AlternateContent>
        <mc:AlternateContent xmlns:mc="http://schemas.openxmlformats.org/markup-compatibility/2006">
          <mc:Choice Requires="x14">
            <control shapeId="21510" r:id="rId7" name="Button 6">
              <controlPr defaultSize="0" print="0" autoFill="0" autoPict="0" macro="[0]!TilFølsomhedTotaleAfstand">
                <anchor moveWithCells="1" sizeWithCells="1">
                  <from>
                    <xdr:col>8</xdr:col>
                    <xdr:colOff>542925</xdr:colOff>
                    <xdr:row>37</xdr:row>
                    <xdr:rowOff>161925</xdr:rowOff>
                  </from>
                  <to>
                    <xdr:col>9</xdr:col>
                    <xdr:colOff>219075</xdr:colOff>
                    <xdr:row>41</xdr:row>
                    <xdr:rowOff>76200</xdr:rowOff>
                  </to>
                </anchor>
              </controlPr>
            </control>
          </mc:Choice>
        </mc:AlternateContent>
        <mc:AlternateContent xmlns:mc="http://schemas.openxmlformats.org/markup-compatibility/2006">
          <mc:Choice Requires="x14">
            <control shapeId="21511" r:id="rId8" name="Button 7">
              <controlPr defaultSize="0" print="0" autoFill="0" autoPict="0" macro="[0]!TilFølsomhedTransportKapacitet">
                <anchor moveWithCells="1" sizeWithCells="1">
                  <from>
                    <xdr:col>7</xdr:col>
                    <xdr:colOff>752475</xdr:colOff>
                    <xdr:row>30</xdr:row>
                    <xdr:rowOff>9525</xdr:rowOff>
                  </from>
                  <to>
                    <xdr:col>8</xdr:col>
                    <xdr:colOff>419100</xdr:colOff>
                    <xdr:row>33</xdr:row>
                    <xdr:rowOff>95250</xdr:rowOff>
                  </to>
                </anchor>
              </controlPr>
            </control>
          </mc:Choice>
        </mc:AlternateContent>
        <mc:AlternateContent xmlns:mc="http://schemas.openxmlformats.org/markup-compatibility/2006">
          <mc:Choice Requires="x14">
            <control shapeId="21512" r:id="rId9" name="Button 8">
              <controlPr defaultSize="0" print="0" autoFill="0" autoPict="0" macro="[0]!TilFølsomhedsanalyseTotalKapacitet">
                <anchor moveWithCells="1" sizeWithCells="1">
                  <from>
                    <xdr:col>7</xdr:col>
                    <xdr:colOff>752475</xdr:colOff>
                    <xdr:row>33</xdr:row>
                    <xdr:rowOff>180975</xdr:rowOff>
                  </from>
                  <to>
                    <xdr:col>8</xdr:col>
                    <xdr:colOff>419100</xdr:colOff>
                    <xdr:row>37</xdr:row>
                    <xdr:rowOff>76200</xdr:rowOff>
                  </to>
                </anchor>
              </controlPr>
            </control>
          </mc:Choice>
        </mc:AlternateContent>
        <mc:AlternateContent xmlns:mc="http://schemas.openxmlformats.org/markup-compatibility/2006">
          <mc:Choice Requires="x14">
            <control shapeId="21513" r:id="rId10" name="Button 9">
              <controlPr defaultSize="0" print="0" autoFill="0" autoPict="0" macro="[0]!TilFølsomhedBriketterTransportKapacitet">
                <anchor moveWithCells="1" sizeWithCells="1">
                  <from>
                    <xdr:col>8</xdr:col>
                    <xdr:colOff>504825</xdr:colOff>
                    <xdr:row>30</xdr:row>
                    <xdr:rowOff>19050</xdr:rowOff>
                  </from>
                  <to>
                    <xdr:col>10</xdr:col>
                    <xdr:colOff>438150</xdr:colOff>
                    <xdr:row>33</xdr:row>
                    <xdr:rowOff>104775</xdr:rowOff>
                  </to>
                </anchor>
              </controlPr>
            </control>
          </mc:Choice>
        </mc:AlternateContent>
        <mc:AlternateContent xmlns:mc="http://schemas.openxmlformats.org/markup-compatibility/2006">
          <mc:Choice Requires="x14">
            <control shapeId="21514" r:id="rId11" name="Button 10">
              <controlPr defaultSize="0" print="0" autoFill="0" autoPict="0" macro="[0]!TilFølsomhedBrikettterTotaleKapacitet">
                <anchor moveWithCells="1" sizeWithCells="1">
                  <from>
                    <xdr:col>8</xdr:col>
                    <xdr:colOff>514350</xdr:colOff>
                    <xdr:row>34</xdr:row>
                    <xdr:rowOff>0</xdr:rowOff>
                  </from>
                  <to>
                    <xdr:col>10</xdr:col>
                    <xdr:colOff>447675</xdr:colOff>
                    <xdr:row>37</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theme="5" tint="0.59999389629810485"/>
  </sheetPr>
  <dimension ref="A1:V37"/>
  <sheetViews>
    <sheetView workbookViewId="0">
      <selection activeCell="J26" sqref="J26"/>
    </sheetView>
  </sheetViews>
  <sheetFormatPr defaultRowHeight="15" x14ac:dyDescent="0.25"/>
  <cols>
    <col min="1" max="1" width="30.42578125" style="5" customWidth="1"/>
    <col min="2" max="2" width="8.7109375" style="5" customWidth="1"/>
    <col min="3" max="3" width="5.85546875" style="262" customWidth="1"/>
    <col min="4" max="4" width="6.85546875" style="43" customWidth="1"/>
    <col min="5" max="5" width="9.140625" style="5"/>
    <col min="6" max="6" width="35.7109375" style="5" bestFit="1" customWidth="1"/>
    <col min="7" max="7" width="3.140625" style="5" customWidth="1"/>
    <col min="8" max="8" width="8.5703125" style="9" customWidth="1"/>
    <col min="9" max="9" width="5.140625" style="43" customWidth="1"/>
    <col min="10" max="10" width="16.85546875" style="5" bestFit="1" customWidth="1"/>
    <col min="11" max="11" width="14.140625" style="5" hidden="1" customWidth="1"/>
    <col min="12" max="12" width="11.5703125" style="5" hidden="1" customWidth="1"/>
    <col min="13" max="20" width="0" style="5" hidden="1" customWidth="1"/>
    <col min="21" max="16384" width="9.140625" style="5"/>
  </cols>
  <sheetData>
    <row r="1" spans="1:22" ht="21" x14ac:dyDescent="0.35">
      <c r="A1" s="27" t="s">
        <v>549</v>
      </c>
    </row>
    <row r="2" spans="1:22" x14ac:dyDescent="0.25">
      <c r="V2" s="5">
        <v>2</v>
      </c>
    </row>
    <row r="3" spans="1:22" x14ac:dyDescent="0.25">
      <c r="A3" s="6" t="s">
        <v>13</v>
      </c>
      <c r="E3" s="97"/>
      <c r="F3" s="269" t="s">
        <v>80</v>
      </c>
      <c r="G3" s="97"/>
      <c r="H3" s="97"/>
      <c r="I3" s="115"/>
      <c r="V3" s="5">
        <v>2</v>
      </c>
    </row>
    <row r="4" spans="1:22" ht="17.25" customHeight="1" x14ac:dyDescent="0.25">
      <c r="A4" s="5" t="s">
        <v>144</v>
      </c>
      <c r="E4" s="97"/>
      <c r="F4" s="97" t="s">
        <v>78</v>
      </c>
      <c r="G4" s="97"/>
      <c r="H4" s="97"/>
      <c r="I4" s="115"/>
    </row>
    <row r="5" spans="1:22" x14ac:dyDescent="0.25">
      <c r="E5" s="97"/>
      <c r="F5" s="97"/>
      <c r="G5" s="97"/>
      <c r="H5" s="97"/>
      <c r="I5" s="115"/>
    </row>
    <row r="6" spans="1:22" x14ac:dyDescent="0.25">
      <c r="A6" s="9" t="s">
        <v>409</v>
      </c>
      <c r="C6" s="263">
        <v>50</v>
      </c>
      <c r="D6" s="261" t="s">
        <v>406</v>
      </c>
      <c r="E6" s="97"/>
      <c r="F6" s="97" t="s">
        <v>401</v>
      </c>
      <c r="G6" s="97"/>
      <c r="H6" s="260">
        <v>10</v>
      </c>
      <c r="I6" s="261" t="s">
        <v>206</v>
      </c>
    </row>
    <row r="7" spans="1:22" x14ac:dyDescent="0.25">
      <c r="A7" s="5" t="s">
        <v>287</v>
      </c>
      <c r="C7" s="264">
        <v>37</v>
      </c>
      <c r="D7" s="261" t="s">
        <v>407</v>
      </c>
      <c r="E7" s="97"/>
      <c r="F7" s="97" t="s">
        <v>541</v>
      </c>
      <c r="G7" s="97"/>
      <c r="H7" s="270">
        <f>VLOOKUP(V3,Rådata_majs!A30:D31,3)</f>
        <v>-650</v>
      </c>
      <c r="I7" s="115" t="s">
        <v>347</v>
      </c>
    </row>
    <row r="8" spans="1:22" x14ac:dyDescent="0.25">
      <c r="A8" s="5" t="s">
        <v>254</v>
      </c>
      <c r="C8" s="264">
        <f>C6*C7</f>
        <v>1850</v>
      </c>
      <c r="D8" s="261" t="s">
        <v>240</v>
      </c>
      <c r="E8" s="97"/>
      <c r="F8" s="97" t="s">
        <v>355</v>
      </c>
      <c r="G8" s="97"/>
      <c r="H8" s="97">
        <f>VLOOKUP(V3,Rådata_majs!A30:E31,5)</f>
        <v>51.5</v>
      </c>
      <c r="I8" s="115" t="s">
        <v>434</v>
      </c>
    </row>
    <row r="9" spans="1:22" ht="17.25" x14ac:dyDescent="0.25">
      <c r="A9" s="5" t="s">
        <v>349</v>
      </c>
      <c r="C9" s="265">
        <v>0.3</v>
      </c>
      <c r="D9" s="115"/>
      <c r="E9" s="97"/>
      <c r="F9" s="97" t="s">
        <v>223</v>
      </c>
      <c r="G9" s="97"/>
      <c r="H9" s="97">
        <f>VLOOKUP(V3,Rådata_majs!A30:D31,4)</f>
        <v>48</v>
      </c>
      <c r="I9" s="115" t="s">
        <v>400</v>
      </c>
    </row>
    <row r="10" spans="1:22" ht="17.25" x14ac:dyDescent="0.25">
      <c r="A10" s="5" t="s">
        <v>410</v>
      </c>
      <c r="C10" s="265">
        <f>0.95*C9</f>
        <v>0.28499999999999998</v>
      </c>
      <c r="D10" s="115"/>
      <c r="E10" s="97"/>
      <c r="F10" s="97" t="s">
        <v>548</v>
      </c>
      <c r="G10" s="97"/>
      <c r="H10" s="363">
        <f>Majsudbytte/MajsSnitDensitet</f>
        <v>2846.1538461538462</v>
      </c>
      <c r="I10" s="115" t="s">
        <v>547</v>
      </c>
    </row>
    <row r="11" spans="1:22" ht="18" x14ac:dyDescent="0.35">
      <c r="A11" s="5" t="s">
        <v>390</v>
      </c>
      <c r="C11" s="110">
        <f>Forudsætninger!V31</f>
        <v>286</v>
      </c>
      <c r="D11" s="116" t="s">
        <v>358</v>
      </c>
      <c r="E11" s="97"/>
      <c r="F11" s="97"/>
      <c r="G11" s="97"/>
      <c r="H11" s="97"/>
      <c r="I11" s="115"/>
    </row>
    <row r="12" spans="1:22" x14ac:dyDescent="0.25">
      <c r="C12" s="5"/>
      <c r="D12" s="5"/>
      <c r="E12" s="97"/>
      <c r="F12" s="97"/>
      <c r="G12" s="97"/>
      <c r="H12" s="97"/>
      <c r="I12" s="115"/>
    </row>
    <row r="13" spans="1:22" x14ac:dyDescent="0.25">
      <c r="C13" s="5"/>
      <c r="D13" s="5"/>
      <c r="E13" s="97"/>
      <c r="F13" s="269"/>
      <c r="G13" s="97"/>
      <c r="H13" s="97"/>
      <c r="I13" s="115"/>
    </row>
    <row r="14" spans="1:22" x14ac:dyDescent="0.25">
      <c r="C14" s="267"/>
      <c r="D14" s="115"/>
      <c r="E14" s="97"/>
      <c r="F14" s="269" t="s">
        <v>545</v>
      </c>
      <c r="G14" s="97"/>
      <c r="H14" s="97"/>
      <c r="I14" s="115"/>
    </row>
    <row r="15" spans="1:22" ht="17.25" x14ac:dyDescent="0.25">
      <c r="A15" s="6" t="s">
        <v>15</v>
      </c>
      <c r="C15" s="267"/>
      <c r="D15" s="115"/>
      <c r="E15" s="97"/>
      <c r="F15" s="97" t="s">
        <v>546</v>
      </c>
      <c r="G15" s="97"/>
      <c r="H15" s="363">
        <f>Majsudbytte/Forudsætninger!N30</f>
        <v>2685.0507982583458</v>
      </c>
      <c r="I15" s="115" t="s">
        <v>547</v>
      </c>
    </row>
    <row r="16" spans="1:22" ht="17.25" x14ac:dyDescent="0.25">
      <c r="A16" s="5" t="s">
        <v>509</v>
      </c>
      <c r="C16" s="266">
        <f>VLOOKUP(MajsJordtype,Majstal,3)</f>
        <v>-1600</v>
      </c>
      <c r="D16" s="115" t="s">
        <v>394</v>
      </c>
      <c r="E16" s="97"/>
      <c r="F16" s="97" t="s">
        <v>637</v>
      </c>
      <c r="G16" s="97"/>
      <c r="H16" s="363">
        <f>Lager!E49</f>
        <v>1889.9999999999998</v>
      </c>
      <c r="I16" s="115" t="s">
        <v>547</v>
      </c>
      <c r="U16" s="29"/>
    </row>
    <row r="17" spans="1:9" x14ac:dyDescent="0.25">
      <c r="A17" s="5" t="s">
        <v>412</v>
      </c>
      <c r="C17" s="266">
        <f>VLOOKUP(MajsJordtype,Majstal,8)</f>
        <v>-590</v>
      </c>
      <c r="D17" s="115" t="s">
        <v>394</v>
      </c>
      <c r="E17" s="97"/>
      <c r="F17" s="97" t="s">
        <v>639</v>
      </c>
      <c r="G17" s="97"/>
      <c r="H17" s="399">
        <f>H15/H16</f>
        <v>1.4206617980202889</v>
      </c>
      <c r="I17" s="115"/>
    </row>
    <row r="18" spans="1:9" x14ac:dyDescent="0.25">
      <c r="A18" s="5" t="s">
        <v>54</v>
      </c>
      <c r="C18" s="266">
        <f>VLOOKUP(MajsJordtype,Majstal,4)</f>
        <v>-1360</v>
      </c>
      <c r="D18" s="115" t="s">
        <v>394</v>
      </c>
      <c r="E18" s="97"/>
      <c r="F18" s="97" t="s">
        <v>640</v>
      </c>
      <c r="G18" s="97"/>
      <c r="H18" s="256">
        <f>MajsPlansilo</f>
        <v>-123.8594907857188</v>
      </c>
      <c r="I18" s="115" t="s">
        <v>346</v>
      </c>
    </row>
    <row r="19" spans="1:9" x14ac:dyDescent="0.25">
      <c r="A19" s="5" t="s">
        <v>55</v>
      </c>
      <c r="C19" s="266">
        <f>VLOOKUP(MajsJordtype,Majstal,5)</f>
        <v>-468</v>
      </c>
      <c r="D19" s="115" t="s">
        <v>394</v>
      </c>
      <c r="E19" s="97"/>
      <c r="F19" s="97" t="s">
        <v>641</v>
      </c>
      <c r="G19" s="97"/>
      <c r="H19" s="256">
        <f>MajsPlansilo2</f>
        <v>-81.474841380621825</v>
      </c>
      <c r="I19" s="115" t="s">
        <v>346</v>
      </c>
    </row>
    <row r="20" spans="1:9" x14ac:dyDescent="0.25">
      <c r="A20" s="5" t="s">
        <v>396</v>
      </c>
      <c r="C20" s="266">
        <f>VLOOKUP(MajsJordtype,Majstal,6)</f>
        <v>-990</v>
      </c>
      <c r="D20" s="115" t="s">
        <v>394</v>
      </c>
      <c r="E20" s="97"/>
      <c r="F20" s="9"/>
      <c r="G20" s="97"/>
      <c r="H20" s="256"/>
      <c r="I20" s="115"/>
    </row>
    <row r="21" spans="1:9" x14ac:dyDescent="0.25">
      <c r="A21" s="5" t="s">
        <v>56</v>
      </c>
      <c r="C21" s="266">
        <f>VLOOKUP(MajsJordtype,Majstal,7)</f>
        <v>0</v>
      </c>
      <c r="D21" s="115" t="s">
        <v>393</v>
      </c>
      <c r="E21" s="97"/>
      <c r="F21" s="9"/>
      <c r="G21" s="97"/>
      <c r="H21" s="271"/>
      <c r="I21" s="115"/>
    </row>
    <row r="22" spans="1:9" x14ac:dyDescent="0.25">
      <c r="E22" s="97"/>
      <c r="F22" s="9"/>
      <c r="G22" s="97"/>
      <c r="H22" s="256"/>
      <c r="I22" s="115"/>
    </row>
    <row r="23" spans="1:9" x14ac:dyDescent="0.25">
      <c r="C23" s="266"/>
      <c r="D23" s="115"/>
      <c r="E23" s="97"/>
      <c r="F23" s="9"/>
      <c r="G23" s="97"/>
      <c r="H23" s="97"/>
      <c r="I23" s="115"/>
    </row>
    <row r="24" spans="1:9" x14ac:dyDescent="0.25">
      <c r="A24" s="6" t="s">
        <v>17</v>
      </c>
      <c r="C24" s="266"/>
      <c r="D24" s="115"/>
      <c r="E24" s="97"/>
      <c r="F24" s="9"/>
      <c r="G24" s="97"/>
      <c r="H24" s="271"/>
      <c r="I24" s="115"/>
    </row>
    <row r="25" spans="1:9" x14ac:dyDescent="0.25">
      <c r="A25" s="5" t="s">
        <v>153</v>
      </c>
      <c r="C25" s="266">
        <f>VLOOKUP(MajsJordtype,Majstal,10)</f>
        <v>-608</v>
      </c>
      <c r="D25" s="115" t="s">
        <v>394</v>
      </c>
      <c r="E25" s="97"/>
      <c r="F25" s="9"/>
      <c r="G25" s="97"/>
      <c r="H25" s="97"/>
      <c r="I25" s="115"/>
    </row>
    <row r="26" spans="1:9" x14ac:dyDescent="0.25">
      <c r="A26" s="5" t="s">
        <v>397</v>
      </c>
      <c r="C26" s="266">
        <v>-800</v>
      </c>
      <c r="D26" s="115" t="s">
        <v>394</v>
      </c>
      <c r="E26" s="97"/>
      <c r="F26" s="9"/>
      <c r="H26" s="266"/>
      <c r="I26" s="115"/>
    </row>
    <row r="27" spans="1:9" x14ac:dyDescent="0.25">
      <c r="A27" s="5" t="s">
        <v>18</v>
      </c>
      <c r="C27" s="266">
        <f>VLOOKUP(MajsJordtype,Majstal,12)</f>
        <v>-133</v>
      </c>
      <c r="D27" s="115" t="s">
        <v>394</v>
      </c>
      <c r="E27" s="97"/>
      <c r="F27" s="9"/>
      <c r="G27" s="97"/>
      <c r="H27" s="97"/>
      <c r="I27" s="115"/>
    </row>
    <row r="28" spans="1:9" x14ac:dyDescent="0.25">
      <c r="A28" s="5" t="s">
        <v>19</v>
      </c>
      <c r="C28" s="266">
        <f>VLOOKUP(MajsJordtype,Majstal,13)</f>
        <v>-152</v>
      </c>
      <c r="D28" s="115" t="s">
        <v>394</v>
      </c>
      <c r="E28" s="97"/>
      <c r="F28" s="9"/>
      <c r="G28" s="97"/>
      <c r="H28" s="97"/>
      <c r="I28" s="115"/>
    </row>
    <row r="29" spans="1:9" x14ac:dyDescent="0.25">
      <c r="A29" s="5" t="s">
        <v>538</v>
      </c>
      <c r="C29" s="266">
        <f>VLOOKUP(MajsJordtype,Majstal,14)</f>
        <v>-570</v>
      </c>
      <c r="D29" s="115" t="s">
        <v>394</v>
      </c>
      <c r="E29" s="97"/>
      <c r="F29" s="97"/>
      <c r="G29" s="97"/>
      <c r="H29" s="97"/>
      <c r="I29" s="115"/>
    </row>
    <row r="30" spans="1:9" x14ac:dyDescent="0.25">
      <c r="A30" s="5" t="s">
        <v>21</v>
      </c>
      <c r="C30" s="266">
        <f>VLOOKUP(MajsJordtype,Majstal,15)</f>
        <v>-160</v>
      </c>
      <c r="D30" s="115" t="s">
        <v>394</v>
      </c>
      <c r="E30" s="97"/>
      <c r="F30" s="97"/>
      <c r="G30" s="97"/>
      <c r="H30" s="97"/>
      <c r="I30" s="115"/>
    </row>
    <row r="31" spans="1:9" x14ac:dyDescent="0.25">
      <c r="A31" s="5" t="s">
        <v>155</v>
      </c>
      <c r="C31" s="266">
        <f>VLOOKUP(MajsJordtype,Majstal,16)</f>
        <v>-320</v>
      </c>
      <c r="D31" s="115" t="s">
        <v>394</v>
      </c>
      <c r="F31" s="97"/>
      <c r="G31" s="97"/>
      <c r="H31" s="97"/>
      <c r="I31" s="115"/>
    </row>
    <row r="32" spans="1:9" x14ac:dyDescent="0.25">
      <c r="A32" s="5" t="s">
        <v>398</v>
      </c>
      <c r="C32" s="268">
        <f>Forudsætninger!M5*Forudsætninger!M7</f>
        <v>-3587.9999999999995</v>
      </c>
      <c r="D32" s="115" t="s">
        <v>394</v>
      </c>
    </row>
    <row r="33" spans="1:4" x14ac:dyDescent="0.25">
      <c r="A33" s="5" t="s">
        <v>399</v>
      </c>
      <c r="C33" s="268">
        <f>Forudsætninger!M8</f>
        <v>-605</v>
      </c>
      <c r="D33" s="115" t="s">
        <v>394</v>
      </c>
    </row>
    <row r="34" spans="1:4" x14ac:dyDescent="0.25">
      <c r="A34" s="5" t="s">
        <v>264</v>
      </c>
      <c r="C34" s="266">
        <f>VLOOKUP(MajsJordtype,Majstal,17)</f>
        <v>-1130</v>
      </c>
      <c r="D34" s="115" t="s">
        <v>299</v>
      </c>
    </row>
    <row r="35" spans="1:4" x14ac:dyDescent="0.25">
      <c r="A35" s="5" t="s">
        <v>265</v>
      </c>
      <c r="C35" s="266">
        <f>VLOOKUP(MajsJordtype,Majstal,18)</f>
        <v>-220</v>
      </c>
      <c r="D35" s="115" t="s">
        <v>299</v>
      </c>
    </row>
    <row r="36" spans="1:4" x14ac:dyDescent="0.25">
      <c r="A36" s="5" t="s">
        <v>266</v>
      </c>
      <c r="C36" s="266">
        <f>VLOOKUP(MajsJordtype,Majstal,19)</f>
        <v>-350</v>
      </c>
      <c r="D36" s="115" t="s">
        <v>299</v>
      </c>
    </row>
    <row r="37" spans="1:4" x14ac:dyDescent="0.25">
      <c r="A37" s="5" t="s">
        <v>160</v>
      </c>
      <c r="C37" s="266">
        <f>VLOOKUP(MajsJordtype,Majstal,20)</f>
        <v>-500</v>
      </c>
      <c r="D37" s="115" t="s">
        <v>299</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6" r:id="rId4" name="Drop Down 2">
              <controlPr defaultSize="0" autoLine="0" autoPict="0">
                <anchor moveWithCells="1">
                  <from>
                    <xdr:col>0</xdr:col>
                    <xdr:colOff>704850</xdr:colOff>
                    <xdr:row>3</xdr:row>
                    <xdr:rowOff>85725</xdr:rowOff>
                  </from>
                  <to>
                    <xdr:col>1</xdr:col>
                    <xdr:colOff>238125</xdr:colOff>
                    <xdr:row>4</xdr:row>
                    <xdr:rowOff>95250</xdr:rowOff>
                  </to>
                </anchor>
              </controlPr>
            </control>
          </mc:Choice>
        </mc:AlternateContent>
        <mc:AlternateContent xmlns:mc="http://schemas.openxmlformats.org/markup-compatibility/2006">
          <mc:Choice Requires="x14">
            <control shapeId="82949" r:id="rId5" name="Drop Down 5">
              <controlPr defaultSize="0" autoLine="0" autoPict="0">
                <anchor moveWithCells="1">
                  <from>
                    <xdr:col>5</xdr:col>
                    <xdr:colOff>1943100</xdr:colOff>
                    <xdr:row>3</xdr:row>
                    <xdr:rowOff>85725</xdr:rowOff>
                  </from>
                  <to>
                    <xdr:col>8</xdr:col>
                    <xdr:colOff>333375</xdr:colOff>
                    <xdr:row>4</xdr:row>
                    <xdr:rowOff>47625</xdr:rowOff>
                  </to>
                </anchor>
              </controlPr>
            </control>
          </mc:Choice>
        </mc:AlternateContent>
        <mc:AlternateContent xmlns:mc="http://schemas.openxmlformats.org/markup-compatibility/2006">
          <mc:Choice Requires="x14">
            <control shapeId="82951" r:id="rId6" name="Button 7">
              <controlPr defaultSize="0" print="0" autoFill="0" autoPict="0" macro="[0]!TilbageTilHovedmenuFraIndtastningRoer">
                <anchor moveWithCells="1" sizeWithCells="1">
                  <from>
                    <xdr:col>21</xdr:col>
                    <xdr:colOff>361950</xdr:colOff>
                    <xdr:row>17</xdr:row>
                    <xdr:rowOff>171450</xdr:rowOff>
                  </from>
                  <to>
                    <xdr:col>28</xdr:col>
                    <xdr:colOff>57150</xdr:colOff>
                    <xdr:row>19</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tabColor theme="5" tint="0.59999389629810485"/>
  </sheetPr>
  <dimension ref="A1:AF62"/>
  <sheetViews>
    <sheetView topLeftCell="A13" workbookViewId="0">
      <selection activeCell="K5" sqref="K5"/>
    </sheetView>
  </sheetViews>
  <sheetFormatPr defaultRowHeight="15" x14ac:dyDescent="0.25"/>
  <cols>
    <col min="1" max="1" width="30.42578125" style="5" customWidth="1"/>
    <col min="2" max="2" width="8.7109375" style="5" customWidth="1"/>
    <col min="3" max="3" width="6.28515625" style="262" customWidth="1"/>
    <col min="4" max="4" width="7" style="43" customWidth="1"/>
    <col min="5" max="5" width="9.140625" style="5"/>
    <col min="6" max="6" width="39.42578125" style="5" bestFit="1" customWidth="1"/>
    <col min="7" max="7" width="1.5703125" style="5" customWidth="1"/>
    <col min="8" max="8" width="7.42578125" style="97" customWidth="1"/>
    <col min="9" max="9" width="5.5703125" style="97" customWidth="1"/>
    <col min="10" max="10" width="13.85546875" style="5" customWidth="1"/>
    <col min="11" max="11" width="18.140625" style="5" customWidth="1"/>
    <col min="12" max="12" width="10.5703125" style="5" customWidth="1"/>
    <col min="13" max="13" width="8.42578125" style="5" customWidth="1"/>
    <col min="14" max="14" width="9.28515625" style="5" customWidth="1"/>
    <col min="15" max="15" width="9.140625" style="5"/>
    <col min="16" max="16" width="32.7109375" style="5" customWidth="1"/>
    <col min="17" max="17" width="6.28515625" style="5" customWidth="1"/>
    <col min="18" max="18" width="11.85546875" style="5" bestFit="1" customWidth="1"/>
    <col min="19" max="19" width="9.140625" style="5"/>
    <col min="20" max="20" width="16.85546875" style="5" bestFit="1" customWidth="1"/>
    <col min="21" max="21" width="14.140625" style="5" customWidth="1"/>
    <col min="22" max="22" width="11.5703125" style="5" customWidth="1"/>
    <col min="23" max="16384" width="9.140625" style="5"/>
  </cols>
  <sheetData>
    <row r="1" spans="1:32" ht="21" x14ac:dyDescent="0.35">
      <c r="A1" s="27" t="s">
        <v>536</v>
      </c>
    </row>
    <row r="2" spans="1:32" x14ac:dyDescent="0.25">
      <c r="E2" s="5">
        <f>Roemarkudbytte*C9</f>
        <v>20.790000000000003</v>
      </c>
      <c r="AF2" s="5">
        <v>2</v>
      </c>
    </row>
    <row r="3" spans="1:32" x14ac:dyDescent="0.25">
      <c r="A3" s="6" t="s">
        <v>13</v>
      </c>
      <c r="F3" s="6" t="s">
        <v>1</v>
      </c>
      <c r="K3" s="6" t="s">
        <v>171</v>
      </c>
      <c r="AF3" s="5">
        <v>1</v>
      </c>
    </row>
    <row r="4" spans="1:32" ht="17.25" customHeight="1" x14ac:dyDescent="0.25">
      <c r="A4" s="9" t="s">
        <v>144</v>
      </c>
      <c r="B4" s="9"/>
      <c r="C4" s="346"/>
      <c r="D4" s="347"/>
      <c r="E4" s="9"/>
      <c r="F4" s="9"/>
      <c r="G4" s="9"/>
      <c r="J4" s="9"/>
      <c r="K4" s="9"/>
      <c r="L4" s="9"/>
      <c r="M4" s="9"/>
      <c r="N4" s="9"/>
      <c r="O4" s="9"/>
      <c r="AF4" s="322">
        <v>2</v>
      </c>
    </row>
    <row r="5" spans="1:32" x14ac:dyDescent="0.25">
      <c r="A5" s="9"/>
      <c r="B5" s="9"/>
      <c r="C5" s="346"/>
      <c r="D5" s="347"/>
      <c r="E5" s="9"/>
      <c r="F5" s="12" t="s">
        <v>189</v>
      </c>
      <c r="G5" s="9"/>
      <c r="J5" s="9"/>
      <c r="K5" s="9" t="s">
        <v>522</v>
      </c>
      <c r="L5" s="9"/>
      <c r="M5" s="9"/>
      <c r="N5" s="9"/>
      <c r="O5" s="9"/>
      <c r="AF5" s="5">
        <v>1</v>
      </c>
    </row>
    <row r="6" spans="1:32" x14ac:dyDescent="0.25">
      <c r="A6" s="9" t="s">
        <v>409</v>
      </c>
      <c r="B6" s="9"/>
      <c r="C6" s="263">
        <v>50</v>
      </c>
      <c r="D6" s="357" t="s">
        <v>406</v>
      </c>
      <c r="E6" s="9"/>
      <c r="F6" s="9" t="s">
        <v>519</v>
      </c>
      <c r="G6" s="9"/>
      <c r="H6" s="260">
        <v>0.5</v>
      </c>
      <c r="I6" s="343" t="s">
        <v>206</v>
      </c>
      <c r="J6" s="9"/>
      <c r="K6" s="9"/>
      <c r="L6" s="9"/>
      <c r="M6" s="9"/>
      <c r="N6" s="9"/>
      <c r="O6" s="9"/>
      <c r="AF6" s="5">
        <v>2</v>
      </c>
    </row>
    <row r="7" spans="1:32" x14ac:dyDescent="0.25">
      <c r="A7" s="9" t="s">
        <v>287</v>
      </c>
      <c r="B7" s="9"/>
      <c r="C7" s="348">
        <v>90</v>
      </c>
      <c r="D7" s="349" t="s">
        <v>407</v>
      </c>
      <c r="E7" s="9"/>
      <c r="F7" s="9" t="s">
        <v>404</v>
      </c>
      <c r="G7" s="9"/>
      <c r="H7" s="255">
        <f>T_Tipvogn</f>
        <v>-625</v>
      </c>
      <c r="I7" s="255" t="s">
        <v>347</v>
      </c>
      <c r="J7" s="9"/>
      <c r="K7" s="37" t="s">
        <v>230</v>
      </c>
      <c r="L7" s="9"/>
      <c r="M7" s="9"/>
      <c r="N7" s="9"/>
      <c r="O7" s="9"/>
      <c r="AF7" s="5">
        <v>2</v>
      </c>
    </row>
    <row r="8" spans="1:32" x14ac:dyDescent="0.25">
      <c r="A8" s="9" t="s">
        <v>254</v>
      </c>
      <c r="B8" s="9"/>
      <c r="C8" s="350">
        <f>C6*C7</f>
        <v>4500</v>
      </c>
      <c r="D8" s="351" t="s">
        <v>240</v>
      </c>
      <c r="E8" s="9"/>
      <c r="F8" s="9" t="s">
        <v>223</v>
      </c>
      <c r="G8" s="9"/>
      <c r="H8" s="255">
        <f>Forudsætninger!D14</f>
        <v>35</v>
      </c>
      <c r="I8" s="255" t="s">
        <v>373</v>
      </c>
      <c r="J8" s="9"/>
      <c r="K8" s="9" t="s">
        <v>500</v>
      </c>
      <c r="L8" s="9"/>
      <c r="M8" s="352">
        <f>IF(Roelager=2,"",RoeUdbytte/Roedensitet)</f>
        <v>6428.5714285714294</v>
      </c>
      <c r="N8" s="352" t="s">
        <v>186</v>
      </c>
      <c r="O8" s="9"/>
      <c r="AF8" s="5">
        <v>3</v>
      </c>
    </row>
    <row r="9" spans="1:32" x14ac:dyDescent="0.25">
      <c r="A9" s="9" t="s">
        <v>14</v>
      </c>
      <c r="B9" s="9"/>
      <c r="C9" s="265">
        <v>0.23100000000000001</v>
      </c>
      <c r="D9" s="353"/>
      <c r="E9" s="9"/>
      <c r="F9" s="9" t="s">
        <v>532</v>
      </c>
      <c r="G9" s="9"/>
      <c r="H9" s="356">
        <f>H8*Roedensitet</f>
        <v>24.5</v>
      </c>
      <c r="I9" s="255" t="s">
        <v>351</v>
      </c>
      <c r="J9" s="9"/>
      <c r="K9" s="9" t="s">
        <v>626</v>
      </c>
      <c r="L9" s="9"/>
      <c r="M9" s="352"/>
      <c r="N9" s="352"/>
      <c r="O9" s="9"/>
      <c r="P9" s="70"/>
      <c r="AF9" s="5">
        <v>1</v>
      </c>
    </row>
    <row r="10" spans="1:32" x14ac:dyDescent="0.25">
      <c r="A10" s="9" t="s">
        <v>554</v>
      </c>
      <c r="B10" s="9"/>
      <c r="C10" s="265">
        <f>0.9*C9</f>
        <v>0.2079</v>
      </c>
      <c r="D10" s="353"/>
      <c r="E10" s="9"/>
      <c r="F10" s="9" t="s">
        <v>355</v>
      </c>
      <c r="G10" s="9"/>
      <c r="H10" s="255">
        <f>Forudsætninger!W5</f>
        <v>15</v>
      </c>
      <c r="I10" s="255" t="s">
        <v>352</v>
      </c>
      <c r="J10" s="9"/>
      <c r="K10" s="9" t="s">
        <v>627</v>
      </c>
      <c r="L10" s="9"/>
      <c r="M10" s="352">
        <f>IF(Roelager=2,"",Lager!E79)</f>
        <v>3527.9999999999995</v>
      </c>
      <c r="N10" s="352" t="s">
        <v>186</v>
      </c>
      <c r="O10" s="9"/>
      <c r="P10" s="29"/>
    </row>
    <row r="11" spans="1:32" ht="18" x14ac:dyDescent="0.35">
      <c r="A11" s="9" t="s">
        <v>390</v>
      </c>
      <c r="B11" s="9"/>
      <c r="C11" s="110">
        <f>RoeMetan</f>
        <v>380</v>
      </c>
      <c r="D11" s="116" t="s">
        <v>358</v>
      </c>
      <c r="E11" s="9"/>
      <c r="F11" s="9"/>
      <c r="G11" s="9"/>
      <c r="J11" s="9"/>
      <c r="K11" s="9" t="s">
        <v>628</v>
      </c>
      <c r="L11" s="9"/>
      <c r="M11" s="352">
        <f>IF(Roelager=2,"",Lager!E89)</f>
        <v>723360</v>
      </c>
      <c r="N11" s="352" t="s">
        <v>299</v>
      </c>
      <c r="O11" s="9"/>
    </row>
    <row r="12" spans="1:32" x14ac:dyDescent="0.25">
      <c r="A12" s="9"/>
      <c r="B12" s="9"/>
      <c r="C12" s="354"/>
      <c r="D12" s="355"/>
      <c r="E12" s="9"/>
      <c r="F12" s="12" t="s">
        <v>178</v>
      </c>
      <c r="G12" s="9"/>
      <c r="J12" s="9"/>
      <c r="K12" s="9" t="s">
        <v>629</v>
      </c>
      <c r="L12" s="9"/>
      <c r="M12" s="256">
        <f>IF(Roelager=2,"",Roeplansilo)</f>
        <v>344.10068027210889</v>
      </c>
      <c r="N12" s="256" t="s">
        <v>471</v>
      </c>
      <c r="O12" s="9"/>
    </row>
    <row r="13" spans="1:32" x14ac:dyDescent="0.25">
      <c r="A13" s="63" t="s">
        <v>15</v>
      </c>
      <c r="B13" s="9"/>
      <c r="C13" s="267"/>
      <c r="D13" s="115"/>
      <c r="E13" s="9"/>
      <c r="F13" s="9"/>
      <c r="G13" s="9"/>
      <c r="J13" s="9"/>
      <c r="K13" s="9"/>
      <c r="L13" s="9"/>
      <c r="M13" s="256"/>
      <c r="N13" s="256"/>
      <c r="O13" s="9"/>
    </row>
    <row r="14" spans="1:32" x14ac:dyDescent="0.25">
      <c r="A14" s="9" t="s">
        <v>509</v>
      </c>
      <c r="B14" s="9"/>
      <c r="C14" s="266">
        <f>VLOOKUP(RoeJordtype,Roetal,3)</f>
        <v>-1400</v>
      </c>
      <c r="D14" s="115" t="s">
        <v>394</v>
      </c>
      <c r="E14" s="9"/>
      <c r="F14" s="9"/>
      <c r="G14" s="9"/>
      <c r="J14" s="9"/>
      <c r="K14" s="9" t="str">
        <f>Lager!A98</f>
        <v>Ydelse ved lån på   723360  kr. over en 10 års periode med 5,5 % i renter</v>
      </c>
      <c r="L14" s="9"/>
      <c r="M14" s="256"/>
      <c r="N14" s="256"/>
      <c r="O14" s="9"/>
    </row>
    <row r="15" spans="1:32" x14ac:dyDescent="0.25">
      <c r="A15" s="9" t="s">
        <v>412</v>
      </c>
      <c r="B15" s="9"/>
      <c r="C15" s="266">
        <f>VLOOKUP(RoeJordtype,Roetal,8)</f>
        <v>-1540</v>
      </c>
      <c r="D15" s="115" t="s">
        <v>394</v>
      </c>
      <c r="E15" s="9"/>
      <c r="F15" s="9" t="str">
        <f>VLOOKUP(AF4,'Rådata roer'!A43:D44,2)</f>
        <v>Roelæsser inkl. tørrens</v>
      </c>
      <c r="G15" s="9"/>
      <c r="H15" s="255">
        <f>VLOOKUP(RoeLæsKule,'Rådata roer'!A43:D44,3)</f>
        <v>-12</v>
      </c>
      <c r="I15" s="64" t="str">
        <f>IF(RoeLæsKule=1,"kr./time","kr./ton")</f>
        <v>kr./ton</v>
      </c>
      <c r="J15" s="9"/>
      <c r="K15" s="9" t="s">
        <v>631</v>
      </c>
      <c r="L15" s="9"/>
      <c r="M15" s="110">
        <f>IF(Roelager=2,"",Lager!I98)</f>
        <v>-65.215813515745822</v>
      </c>
      <c r="N15" s="257" t="s">
        <v>229</v>
      </c>
      <c r="O15" s="9"/>
    </row>
    <row r="16" spans="1:32" x14ac:dyDescent="0.25">
      <c r="A16" s="9" t="s">
        <v>54</v>
      </c>
      <c r="B16" s="9"/>
      <c r="C16" s="266">
        <f>VLOOKUP(RoeJordtype,Roetal,4)</f>
        <v>-1448</v>
      </c>
      <c r="D16" s="115" t="s">
        <v>394</v>
      </c>
      <c r="E16" s="9"/>
      <c r="F16" s="9" t="str">
        <f>IF(RoeLæsKule=1,"Læssekapacitet","")</f>
        <v/>
      </c>
      <c r="G16" s="9"/>
      <c r="H16" s="255" t="str">
        <f>IF(RoeLæsKule=1,'Rådata roer'!D43,"")</f>
        <v/>
      </c>
      <c r="I16" s="255" t="str">
        <f>IF(RoeLæsKule=1,"min/ton","")</f>
        <v/>
      </c>
      <c r="J16" s="9"/>
      <c r="K16" s="9" t="s">
        <v>630</v>
      </c>
      <c r="L16" s="9"/>
      <c r="M16" s="397">
        <f>IF(Roelager=2,"",Lager!G98)</f>
        <v>-0.28231953902920259</v>
      </c>
      <c r="N16" s="9" t="s">
        <v>552</v>
      </c>
      <c r="O16" s="9"/>
    </row>
    <row r="17" spans="1:15" x14ac:dyDescent="0.25">
      <c r="A17" s="9" t="s">
        <v>55</v>
      </c>
      <c r="B17" s="9"/>
      <c r="C17" s="266">
        <f>VLOOKUP(RoeJordtype,Roetal,5)</f>
        <v>-348</v>
      </c>
      <c r="D17" s="115" t="s">
        <v>394</v>
      </c>
      <c r="E17" s="9"/>
      <c r="F17" s="9"/>
      <c r="G17" s="9"/>
      <c r="J17" s="9"/>
      <c r="K17" s="9"/>
      <c r="L17" s="9"/>
      <c r="M17" s="9"/>
      <c r="N17" s="9"/>
      <c r="O17" s="9"/>
    </row>
    <row r="18" spans="1:15" x14ac:dyDescent="0.25">
      <c r="A18" s="9" t="s">
        <v>396</v>
      </c>
      <c r="B18" s="9"/>
      <c r="C18" s="266">
        <f>VLOOKUP(RoeJordtype,Roetal,6)</f>
        <v>-1680</v>
      </c>
      <c r="D18" s="115" t="s">
        <v>394</v>
      </c>
      <c r="E18" s="9"/>
      <c r="F18" s="12" t="s">
        <v>179</v>
      </c>
      <c r="G18" s="9"/>
      <c r="J18" s="9"/>
      <c r="K18" s="37" t="s">
        <v>231</v>
      </c>
      <c r="L18" s="9"/>
      <c r="M18" s="9"/>
      <c r="N18" s="9"/>
      <c r="O18" s="9"/>
    </row>
    <row r="19" spans="1:15" x14ac:dyDescent="0.25">
      <c r="A19" s="9" t="s">
        <v>56</v>
      </c>
      <c r="B19" s="9"/>
      <c r="C19" s="266" t="s">
        <v>530</v>
      </c>
      <c r="D19" s="115" t="s">
        <v>529</v>
      </c>
      <c r="E19" s="9"/>
      <c r="F19" s="9" t="s">
        <v>354</v>
      </c>
      <c r="G19" s="9"/>
      <c r="H19" s="260">
        <v>15</v>
      </c>
      <c r="I19" s="343" t="s">
        <v>206</v>
      </c>
      <c r="J19" s="9"/>
      <c r="K19" s="9" t="s">
        <v>500</v>
      </c>
      <c r="L19" s="9"/>
      <c r="M19" s="356" t="str">
        <f>IF(Roelager=1,"",RoeUdbytte/Roepulpdensitet)</f>
        <v/>
      </c>
      <c r="N19" s="97" t="s">
        <v>186</v>
      </c>
      <c r="O19" s="9"/>
    </row>
    <row r="20" spans="1:15" x14ac:dyDescent="0.25">
      <c r="A20" s="9"/>
      <c r="B20" s="9"/>
      <c r="C20" s="266"/>
      <c r="D20" s="115"/>
      <c r="E20" s="9"/>
      <c r="F20" s="9" t="s">
        <v>499</v>
      </c>
      <c r="G20" s="9"/>
      <c r="H20" s="255">
        <f>Forudsætninger!D15</f>
        <v>-650</v>
      </c>
      <c r="I20" s="255" t="s">
        <v>347</v>
      </c>
      <c r="J20" s="9"/>
      <c r="M20" s="9"/>
      <c r="N20" s="9"/>
      <c r="O20" s="9"/>
    </row>
    <row r="21" spans="1:15" x14ac:dyDescent="0.25">
      <c r="A21" s="9"/>
      <c r="B21" s="9"/>
      <c r="C21" s="266"/>
      <c r="D21" s="115"/>
      <c r="E21" s="9"/>
      <c r="F21" s="9" t="s">
        <v>223</v>
      </c>
      <c r="G21" s="9"/>
      <c r="H21" s="255">
        <f>Forudsætninger!D16</f>
        <v>48</v>
      </c>
      <c r="I21" s="255" t="s">
        <v>373</v>
      </c>
      <c r="J21" s="9"/>
      <c r="K21" s="9" t="s">
        <v>209</v>
      </c>
      <c r="L21" s="97"/>
      <c r="M21" s="362">
        <v>2</v>
      </c>
      <c r="N21" s="362" t="s">
        <v>242</v>
      </c>
      <c r="O21" s="9"/>
    </row>
    <row r="22" spans="1:15" x14ac:dyDescent="0.25">
      <c r="A22" s="63" t="s">
        <v>17</v>
      </c>
      <c r="B22" s="9"/>
      <c r="C22" s="266"/>
      <c r="D22" s="115"/>
      <c r="E22" s="9"/>
      <c r="F22" s="9" t="s">
        <v>532</v>
      </c>
      <c r="G22" s="9"/>
      <c r="H22" s="356">
        <f>H21*Roedensitet</f>
        <v>33.599999999999994</v>
      </c>
      <c r="I22" s="255" t="s">
        <v>351</v>
      </c>
      <c r="J22" s="9"/>
      <c r="K22" s="9"/>
      <c r="L22" s="9"/>
      <c r="M22" s="9"/>
      <c r="N22" s="9"/>
      <c r="O22" s="9"/>
    </row>
    <row r="23" spans="1:15" x14ac:dyDescent="0.25">
      <c r="A23" s="9" t="s">
        <v>153</v>
      </c>
      <c r="B23" s="9"/>
      <c r="C23" s="266">
        <f>VLOOKUP(RoeJordtype,Roetal,9)</f>
        <v>-650</v>
      </c>
      <c r="D23" s="115" t="s">
        <v>394</v>
      </c>
      <c r="E23" s="9"/>
      <c r="F23" s="9" t="s">
        <v>355</v>
      </c>
      <c r="G23" s="9"/>
      <c r="H23" s="363">
        <f>Forudsætninger!V7</f>
        <v>51.5</v>
      </c>
      <c r="I23" s="97" t="s">
        <v>352</v>
      </c>
      <c r="J23" s="9"/>
      <c r="K23" s="9" t="s">
        <v>208</v>
      </c>
      <c r="L23" s="9"/>
      <c r="M23" s="9"/>
      <c r="N23" s="9"/>
      <c r="O23" s="9"/>
    </row>
    <row r="24" spans="1:15" x14ac:dyDescent="0.25">
      <c r="A24" s="9" t="s">
        <v>154</v>
      </c>
      <c r="B24" s="9"/>
      <c r="C24" s="266">
        <f>VLOOKUP(RoeJordtype,Roetal,10)</f>
        <v>-200</v>
      </c>
      <c r="D24" s="115" t="s">
        <v>394</v>
      </c>
      <c r="E24" s="9"/>
      <c r="F24" s="9"/>
      <c r="G24" s="9"/>
      <c r="J24" s="9"/>
      <c r="K24" s="9"/>
      <c r="L24" s="9"/>
      <c r="M24" s="9"/>
      <c r="N24" s="9"/>
      <c r="O24" s="9"/>
    </row>
    <row r="25" spans="1:15" x14ac:dyDescent="0.25">
      <c r="A25" s="9" t="s">
        <v>397</v>
      </c>
      <c r="B25" s="9"/>
      <c r="C25" s="266">
        <f>VLOOKUP(RoeJordtype,Roetal,11)</f>
        <v>0</v>
      </c>
      <c r="D25" s="115" t="s">
        <v>394</v>
      </c>
      <c r="E25" s="9"/>
      <c r="F25" s="9"/>
      <c r="G25" s="9"/>
      <c r="J25" s="9"/>
      <c r="K25" s="9" t="s">
        <v>225</v>
      </c>
      <c r="L25" s="9"/>
      <c r="M25" s="256" t="str">
        <f>IF(Roelager=2,VLOOKUP(AF6,'Rådata roer'!A37:J40,4)*M21,"")</f>
        <v/>
      </c>
      <c r="N25" s="9" t="s">
        <v>299</v>
      </c>
      <c r="O25" s="9"/>
    </row>
    <row r="26" spans="1:15" x14ac:dyDescent="0.25">
      <c r="A26" s="9" t="s">
        <v>18</v>
      </c>
      <c r="B26" s="9"/>
      <c r="C26" s="266">
        <f>VLOOKUP(RoeJordtype,Roetal,12)</f>
        <v>-133</v>
      </c>
      <c r="D26" s="115" t="s">
        <v>394</v>
      </c>
      <c r="E26" s="9"/>
      <c r="F26" s="63" t="s">
        <v>205</v>
      </c>
      <c r="G26" s="9"/>
      <c r="H26" s="9"/>
      <c r="I26" s="9"/>
      <c r="J26" s="9"/>
      <c r="K26" s="9" t="s">
        <v>226</v>
      </c>
      <c r="L26" s="9"/>
      <c r="M26" s="256" t="str">
        <f>IF(Roelager=2,VLOOKUP(AF6,'Rådata roer'!A37:J40,5)*M21,"")</f>
        <v/>
      </c>
      <c r="N26" s="9" t="s">
        <v>299</v>
      </c>
      <c r="O26" s="9"/>
    </row>
    <row r="27" spans="1:15" x14ac:dyDescent="0.25">
      <c r="A27" s="9" t="s">
        <v>19</v>
      </c>
      <c r="B27" s="9"/>
      <c r="C27" s="266">
        <f>VLOOKUP(RoeJordtype,Roetal,13)</f>
        <v>-304</v>
      </c>
      <c r="D27" s="115" t="s">
        <v>394</v>
      </c>
      <c r="E27" s="9"/>
      <c r="F27" s="9"/>
      <c r="G27" s="9"/>
      <c r="H27" s="9"/>
      <c r="I27" s="9"/>
      <c r="J27" s="9"/>
      <c r="K27" s="9" t="s">
        <v>227</v>
      </c>
      <c r="L27" s="9"/>
      <c r="M27" s="256" t="str">
        <f>IF(Roelager=2,VLOOKUP(AF6,'Rådata roer'!A37:J40,6)*M21,"")</f>
        <v/>
      </c>
      <c r="N27" s="9" t="s">
        <v>299</v>
      </c>
      <c r="O27" s="9"/>
    </row>
    <row r="28" spans="1:15" x14ac:dyDescent="0.25">
      <c r="A28" s="9" t="s">
        <v>20</v>
      </c>
      <c r="B28" s="9"/>
      <c r="C28" s="266">
        <f>VLOOKUP(RoeJordtype,Roetal,14)</f>
        <v>-475</v>
      </c>
      <c r="D28" s="115" t="s">
        <v>394</v>
      </c>
      <c r="E28" s="9"/>
      <c r="F28" s="9"/>
      <c r="G28" s="9"/>
      <c r="H28" s="9"/>
      <c r="I28" s="9"/>
      <c r="J28" s="9"/>
      <c r="K28" s="9" t="s">
        <v>185</v>
      </c>
      <c r="L28" s="9"/>
      <c r="M28" s="256" t="str">
        <f>IF(Roelager=2,VLOOKUP(AF6,'Rådata roer'!A37:J40,7)*M21,"")</f>
        <v/>
      </c>
      <c r="N28" s="9" t="s">
        <v>299</v>
      </c>
      <c r="O28" s="9"/>
    </row>
    <row r="29" spans="1:15" x14ac:dyDescent="0.25">
      <c r="A29" s="9" t="s">
        <v>21</v>
      </c>
      <c r="B29" s="9"/>
      <c r="C29" s="266">
        <f>VLOOKUP(RoeJordtype,Roetal,15)</f>
        <v>-160</v>
      </c>
      <c r="D29" s="115" t="s">
        <v>394</v>
      </c>
      <c r="E29" s="9"/>
      <c r="F29" s="9" t="str">
        <f>VLOOKUP(Roerens,'Rådata roer'!A28:F30,2)</f>
        <v>Elephant beet washer</v>
      </c>
      <c r="G29" s="9"/>
      <c r="H29" s="256">
        <f>VLOOKUP(Roerens,'Rådata roer'!A28:F30,3)</f>
        <v>-1120</v>
      </c>
      <c r="I29" s="256" t="s">
        <v>347</v>
      </c>
      <c r="J29" s="9"/>
      <c r="K29" s="9" t="s">
        <v>25</v>
      </c>
      <c r="L29" s="9"/>
      <c r="M29" s="271" t="str">
        <f>IF(Roelager=2,VLOOKUP(AF6,'Rådata roer'!A37:J40,8),"")</f>
        <v/>
      </c>
      <c r="N29" s="9"/>
      <c r="O29" s="9"/>
    </row>
    <row r="30" spans="1:15" x14ac:dyDescent="0.25">
      <c r="A30" s="9" t="s">
        <v>155</v>
      </c>
      <c r="B30" s="9"/>
      <c r="C30" s="266">
        <f>VLOOKUP(RoeJordtype,Roetal,16)</f>
        <v>-800</v>
      </c>
      <c r="D30" s="115" t="s">
        <v>394</v>
      </c>
      <c r="E30" s="9"/>
      <c r="F30" s="9" t="s">
        <v>223</v>
      </c>
      <c r="G30" s="9"/>
      <c r="H30" s="256">
        <f>VLOOKUP(Roerens,'Rådata roer'!A28:F30,4)</f>
        <v>70</v>
      </c>
      <c r="I30" s="256" t="s">
        <v>496</v>
      </c>
      <c r="J30" s="9"/>
      <c r="K30" s="9" t="s">
        <v>26</v>
      </c>
      <c r="L30" s="9"/>
      <c r="M30" s="360" t="str">
        <f>IF(Roelager=2,VLOOKUP(AF6,'Rådata roer'!A37:J40,9),"")</f>
        <v/>
      </c>
      <c r="N30" s="9" t="s">
        <v>364</v>
      </c>
      <c r="O30" s="9"/>
    </row>
    <row r="31" spans="1:15" x14ac:dyDescent="0.25">
      <c r="A31" s="9" t="s">
        <v>156</v>
      </c>
      <c r="B31" s="9"/>
      <c r="C31" s="266">
        <f>VLOOKUP(RoeJordtype,Roetal,17)</f>
        <v>-1722</v>
      </c>
      <c r="D31" s="115" t="s">
        <v>394</v>
      </c>
      <c r="E31" s="9"/>
      <c r="F31" s="9" t="s">
        <v>512</v>
      </c>
      <c r="G31" s="9"/>
      <c r="H31" s="256">
        <f>VLOOKUP(Roerens,'Rådata roer'!A28:F30,5)</f>
        <v>50</v>
      </c>
      <c r="I31" s="256" t="s">
        <v>497</v>
      </c>
      <c r="J31" s="9"/>
      <c r="K31" s="9" t="s">
        <v>525</v>
      </c>
      <c r="L31" s="9"/>
      <c r="M31" s="361" t="str">
        <f>IF(Roelager=2,VLOOKUP(AF6,'Rådata roer'!A37:J40,10)*M21,"")</f>
        <v/>
      </c>
      <c r="N31" s="9" t="s">
        <v>363</v>
      </c>
      <c r="O31" s="9"/>
    </row>
    <row r="32" spans="1:15" x14ac:dyDescent="0.25">
      <c r="A32" s="9" t="s">
        <v>264</v>
      </c>
      <c r="B32" s="9"/>
      <c r="C32" s="266">
        <f>VLOOKUP(RoeJordtype,Roetal,18)</f>
        <v>-1130</v>
      </c>
      <c r="D32" s="115" t="s">
        <v>299</v>
      </c>
      <c r="E32" s="9"/>
      <c r="F32" s="9" t="s">
        <v>518</v>
      </c>
      <c r="G32" s="9"/>
      <c r="H32" s="342">
        <f>VLOOKUP(Roerens,'Rådata roer'!A28:F30,6)</f>
        <v>-0.3</v>
      </c>
      <c r="I32" s="256" t="s">
        <v>346</v>
      </c>
      <c r="J32" s="9"/>
      <c r="K32" s="9"/>
      <c r="L32" s="9"/>
      <c r="M32" s="9"/>
      <c r="N32" s="9"/>
      <c r="O32" s="9"/>
    </row>
    <row r="33" spans="1:15" x14ac:dyDescent="0.25">
      <c r="A33" s="9" t="s">
        <v>265</v>
      </c>
      <c r="B33" s="9"/>
      <c r="C33" s="266">
        <f>VLOOKUP(RoeJordtype,Roetal,19)</f>
        <v>-220</v>
      </c>
      <c r="D33" s="115" t="s">
        <v>299</v>
      </c>
      <c r="E33" s="9"/>
      <c r="F33" s="347" t="str">
        <f>IF(Roerens=2,"Transport, fast pris","")</f>
        <v/>
      </c>
      <c r="G33" s="9"/>
      <c r="H33" s="256" t="str">
        <f>IF(Roerens=2,-750,"")</f>
        <v/>
      </c>
      <c r="I33" s="256" t="s">
        <v>498</v>
      </c>
      <c r="J33" s="9"/>
      <c r="K33" s="9"/>
      <c r="L33" s="9"/>
      <c r="M33" s="9"/>
      <c r="N33" s="9"/>
      <c r="O33" s="9"/>
    </row>
    <row r="34" spans="1:15" x14ac:dyDescent="0.25">
      <c r="A34" s="9" t="s">
        <v>266</v>
      </c>
      <c r="B34" s="9"/>
      <c r="C34" s="266">
        <f>VLOOKUP(RoeJordtype,Roetal,20)</f>
        <v>-350</v>
      </c>
      <c r="D34" s="115" t="s">
        <v>299</v>
      </c>
      <c r="E34" s="9"/>
      <c r="F34" s="347" t="s">
        <v>531</v>
      </c>
      <c r="G34" s="9"/>
      <c r="H34" s="256" t="str">
        <f>IF(Roerens=2,((RoeUdbytte/H30*H29)+H33)/RoeUdbytte+H32,"")</f>
        <v/>
      </c>
      <c r="I34" s="256" t="s">
        <v>346</v>
      </c>
      <c r="J34" s="9"/>
      <c r="M34" s="9"/>
      <c r="N34" s="9"/>
      <c r="O34" s="9"/>
    </row>
    <row r="35" spans="1:15" x14ac:dyDescent="0.25">
      <c r="A35" s="9" t="s">
        <v>160</v>
      </c>
      <c r="B35" s="9"/>
      <c r="C35" s="266">
        <f>VLOOKUP(RoeJordtype,Roetal,21)</f>
        <v>-500</v>
      </c>
      <c r="D35" s="115" t="s">
        <v>299</v>
      </c>
      <c r="E35" s="9"/>
      <c r="F35" s="9" t="str">
        <f>IF(Roerens=1,"Leje af blokvogn","")</f>
        <v>Leje af blokvogn</v>
      </c>
      <c r="G35" s="9"/>
      <c r="H35" s="256">
        <f>IF(Roerens=1,Forudsætninger!C17,"")</f>
        <v>-500</v>
      </c>
      <c r="I35" s="256" t="s">
        <v>347</v>
      </c>
      <c r="J35" s="9"/>
      <c r="K35" s="9" t="s">
        <v>209</v>
      </c>
      <c r="L35" s="97"/>
      <c r="M35" s="362">
        <v>0</v>
      </c>
      <c r="N35" s="362" t="s">
        <v>242</v>
      </c>
      <c r="O35" s="9"/>
    </row>
    <row r="36" spans="1:15" x14ac:dyDescent="0.25">
      <c r="A36" s="9"/>
      <c r="B36" s="9"/>
      <c r="C36" s="346"/>
      <c r="D36" s="347"/>
      <c r="E36" s="9"/>
      <c r="F36" s="9" t="str">
        <f>IF(Roerens=1,"Transport af elephant","Kun for Elephant")</f>
        <v>Transport af elephant</v>
      </c>
      <c r="G36" s="9"/>
      <c r="H36" s="344">
        <v>50</v>
      </c>
      <c r="I36" s="345" t="s">
        <v>206</v>
      </c>
      <c r="J36" s="9"/>
      <c r="K36" s="9"/>
      <c r="L36" s="9"/>
      <c r="M36" s="9"/>
      <c r="N36" s="9"/>
      <c r="O36" s="9"/>
    </row>
    <row r="37" spans="1:15" x14ac:dyDescent="0.25">
      <c r="A37" s="9"/>
      <c r="B37" s="9"/>
      <c r="C37" s="354"/>
      <c r="D37" s="355"/>
      <c r="E37" s="9"/>
      <c r="F37" s="9" t="str">
        <f>IF(Roerens=1,"Samlet transportpris, elephant","")</f>
        <v>Samlet transportpris, elephant</v>
      </c>
      <c r="G37" s="9"/>
      <c r="H37" s="341">
        <f>IF(Roerens=1,(H36/Forudsætninger!C24)*H35,"")</f>
        <v>-555.55555555555554</v>
      </c>
      <c r="I37" s="97" t="s">
        <v>299</v>
      </c>
      <c r="J37" s="9"/>
      <c r="K37" s="9" t="s">
        <v>208</v>
      </c>
      <c r="L37" s="9"/>
      <c r="M37" s="9"/>
      <c r="N37" s="9"/>
      <c r="O37" s="9"/>
    </row>
    <row r="38" spans="1:15" x14ac:dyDescent="0.25">
      <c r="A38" s="6"/>
      <c r="C38" s="258"/>
      <c r="D38" s="259"/>
      <c r="F38" s="9" t="str">
        <f>IF(Roerens=1,"Samlet pris, elephant","")</f>
        <v>Samlet pris, elephant</v>
      </c>
      <c r="G38" s="9"/>
      <c r="H38" s="363">
        <f>IF(Roerens=1,(((RoeUdbytte/H30)*H29)/RoeUdbytte)+H32+(H37/RoeUdbytte),"")</f>
        <v>-16.423456790123456</v>
      </c>
      <c r="I38" s="97" t="s">
        <v>346</v>
      </c>
      <c r="J38" s="9"/>
      <c r="K38" s="9"/>
      <c r="L38" s="9"/>
      <c r="M38" s="9"/>
      <c r="N38" s="9"/>
      <c r="O38" s="9"/>
    </row>
    <row r="39" spans="1:15" x14ac:dyDescent="0.25">
      <c r="A39" s="6"/>
      <c r="C39" s="258"/>
      <c r="D39" s="259"/>
      <c r="F39" s="9"/>
      <c r="G39" s="9"/>
      <c r="J39" s="9"/>
      <c r="K39" s="9" t="s">
        <v>225</v>
      </c>
      <c r="L39" s="9"/>
      <c r="M39" s="256" t="str">
        <f>IF(Roelager=2,VLOOKUP(AF7,'Rådata roer'!A37:J42,4)*M35,"")</f>
        <v/>
      </c>
      <c r="N39" s="9" t="s">
        <v>299</v>
      </c>
      <c r="O39" s="9"/>
    </row>
    <row r="40" spans="1:15" x14ac:dyDescent="0.25">
      <c r="C40" s="258"/>
      <c r="D40" s="259"/>
      <c r="F40" s="9"/>
      <c r="G40" s="9"/>
      <c r="K40" s="9" t="s">
        <v>226</v>
      </c>
      <c r="L40" s="9"/>
      <c r="M40" s="256" t="str">
        <f>IF(Roelager=2,VLOOKUP(AF7,'Rådata roer'!A37:J40,5)*M35,"")</f>
        <v/>
      </c>
      <c r="N40" s="9" t="s">
        <v>299</v>
      </c>
      <c r="O40" s="9"/>
    </row>
    <row r="41" spans="1:15" x14ac:dyDescent="0.25">
      <c r="C41" s="258"/>
      <c r="D41" s="259"/>
      <c r="K41" s="9" t="s">
        <v>227</v>
      </c>
      <c r="L41" s="9"/>
      <c r="M41" s="256" t="str">
        <f>IF(Roelager=2,VLOOKUP(AF7,'Rådata roer'!A37:J40,6)*M35,"")</f>
        <v/>
      </c>
      <c r="N41" s="9" t="s">
        <v>299</v>
      </c>
    </row>
    <row r="42" spans="1:15" x14ac:dyDescent="0.25">
      <c r="C42" s="258"/>
      <c r="D42" s="259"/>
      <c r="K42" s="9" t="s">
        <v>185</v>
      </c>
      <c r="L42" s="9"/>
      <c r="M42" s="256" t="str">
        <f>IF(Roelager=2,VLOOKUP(AF7,'Rådata roer'!A37:J40,7)*M35,"")</f>
        <v/>
      </c>
      <c r="N42" s="9" t="s">
        <v>299</v>
      </c>
    </row>
    <row r="43" spans="1:15" x14ac:dyDescent="0.25">
      <c r="A43" s="68"/>
      <c r="C43" s="258"/>
      <c r="D43" s="259"/>
      <c r="K43" s="9" t="s">
        <v>25</v>
      </c>
      <c r="L43" s="9"/>
      <c r="M43" s="271" t="str">
        <f>IF(Roelager=2,VLOOKUP(AF7,'Rådata roer'!A37:J40,8),"")</f>
        <v/>
      </c>
      <c r="N43" s="9"/>
    </row>
    <row r="44" spans="1:15" x14ac:dyDescent="0.25">
      <c r="A44" s="68"/>
      <c r="C44" s="258"/>
      <c r="D44" s="259"/>
      <c r="K44" s="9" t="s">
        <v>26</v>
      </c>
      <c r="L44" s="9"/>
      <c r="M44" s="360" t="str">
        <f>IF(Roelager=2,VLOOKUP(AF7,'Rådata roer'!A37:J40,9),"")</f>
        <v/>
      </c>
      <c r="N44" s="9" t="s">
        <v>364</v>
      </c>
    </row>
    <row r="45" spans="1:15" x14ac:dyDescent="0.25">
      <c r="C45" s="258"/>
      <c r="D45" s="259"/>
      <c r="K45" s="9" t="s">
        <v>525</v>
      </c>
      <c r="L45" s="9"/>
      <c r="M45" s="361" t="str">
        <f>IF(Roelager=2,VLOOKUP(AF7,'Rådata roer'!A37:J40,10)*M35,"")</f>
        <v/>
      </c>
      <c r="N45" s="9" t="s">
        <v>363</v>
      </c>
    </row>
    <row r="46" spans="1:15" x14ac:dyDescent="0.25">
      <c r="C46" s="258"/>
      <c r="D46" s="259"/>
    </row>
    <row r="47" spans="1:15" x14ac:dyDescent="0.25">
      <c r="C47" s="258"/>
      <c r="D47" s="259"/>
    </row>
    <row r="48" spans="1:15" x14ac:dyDescent="0.25">
      <c r="A48" s="68"/>
      <c r="C48" s="258"/>
      <c r="D48" s="259"/>
    </row>
    <row r="49" spans="1:4" x14ac:dyDescent="0.25"/>
    <row r="51" spans="1:4" x14ac:dyDescent="0.25">
      <c r="A51" s="6"/>
      <c r="C51" s="258"/>
      <c r="D51" s="259"/>
    </row>
    <row r="52" spans="1:4" x14ac:dyDescent="0.25">
      <c r="A52" s="9"/>
      <c r="C52" s="258"/>
      <c r="D52" s="259"/>
    </row>
    <row r="54" spans="1:4" x14ac:dyDescent="0.25">
      <c r="C54" s="258"/>
      <c r="D54" s="259"/>
    </row>
    <row r="55" spans="1:4" x14ac:dyDescent="0.25">
      <c r="C55" s="258"/>
      <c r="D55" s="259"/>
    </row>
    <row r="56" spans="1:4" x14ac:dyDescent="0.25">
      <c r="C56" s="258"/>
      <c r="D56" s="259"/>
    </row>
    <row r="57" spans="1:4" x14ac:dyDescent="0.25">
      <c r="C57" s="258"/>
      <c r="D57" s="259"/>
    </row>
    <row r="60" spans="1:4" x14ac:dyDescent="0.25">
      <c r="C60" s="258"/>
      <c r="D60" s="259"/>
    </row>
    <row r="61" spans="1:4" x14ac:dyDescent="0.25">
      <c r="A61" s="6"/>
      <c r="C61" s="258"/>
      <c r="D61" s="259"/>
    </row>
    <row r="62" spans="1:4" x14ac:dyDescent="0.25">
      <c r="C62" s="258"/>
      <c r="D62" s="259"/>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4" r:id="rId4" name="Drop Down 2">
              <controlPr defaultSize="0" autoLine="0" autoPict="0">
                <anchor moveWithCells="1">
                  <from>
                    <xdr:col>0</xdr:col>
                    <xdr:colOff>704850</xdr:colOff>
                    <xdr:row>3</xdr:row>
                    <xdr:rowOff>76200</xdr:rowOff>
                  </from>
                  <to>
                    <xdr:col>1</xdr:col>
                    <xdr:colOff>123825</xdr:colOff>
                    <xdr:row>4</xdr:row>
                    <xdr:rowOff>38100</xdr:rowOff>
                  </to>
                </anchor>
              </controlPr>
            </control>
          </mc:Choice>
        </mc:AlternateContent>
        <mc:AlternateContent xmlns:mc="http://schemas.openxmlformats.org/markup-compatibility/2006">
          <mc:Choice Requires="x14">
            <control shapeId="44036" r:id="rId5" name="Drop Down 4">
              <controlPr defaultSize="0" autoLine="0" autoPict="0">
                <anchor moveWithCells="1">
                  <from>
                    <xdr:col>5</xdr:col>
                    <xdr:colOff>0</xdr:colOff>
                    <xdr:row>12</xdr:row>
                    <xdr:rowOff>142875</xdr:rowOff>
                  </from>
                  <to>
                    <xdr:col>5</xdr:col>
                    <xdr:colOff>1647825</xdr:colOff>
                    <xdr:row>13</xdr:row>
                    <xdr:rowOff>133350</xdr:rowOff>
                  </to>
                </anchor>
              </controlPr>
            </control>
          </mc:Choice>
        </mc:AlternateContent>
        <mc:AlternateContent xmlns:mc="http://schemas.openxmlformats.org/markup-compatibility/2006">
          <mc:Choice Requires="x14">
            <control shapeId="44037" r:id="rId6" name="Drop Down 5">
              <controlPr defaultSize="0" autoLine="0" autoPict="0">
                <anchor moveWithCells="1">
                  <from>
                    <xdr:col>5</xdr:col>
                    <xdr:colOff>19050</xdr:colOff>
                    <xdr:row>26</xdr:row>
                    <xdr:rowOff>47625</xdr:rowOff>
                  </from>
                  <to>
                    <xdr:col>5</xdr:col>
                    <xdr:colOff>1571625</xdr:colOff>
                    <xdr:row>27</xdr:row>
                    <xdr:rowOff>38100</xdr:rowOff>
                  </to>
                </anchor>
              </controlPr>
            </control>
          </mc:Choice>
        </mc:AlternateContent>
        <mc:AlternateContent xmlns:mc="http://schemas.openxmlformats.org/markup-compatibility/2006">
          <mc:Choice Requires="x14">
            <control shapeId="44038" r:id="rId7" name="Button 6">
              <controlPr defaultSize="0" print="0" autoFill="0" autoPict="0" macro="[0]!GåTilRoerResultater">
                <anchor moveWithCells="1" sizeWithCells="1">
                  <from>
                    <xdr:col>15</xdr:col>
                    <xdr:colOff>333375</xdr:colOff>
                    <xdr:row>32</xdr:row>
                    <xdr:rowOff>85725</xdr:rowOff>
                  </from>
                  <to>
                    <xdr:col>15</xdr:col>
                    <xdr:colOff>2095500</xdr:colOff>
                    <xdr:row>34</xdr:row>
                    <xdr:rowOff>19050</xdr:rowOff>
                  </to>
                </anchor>
              </controlPr>
            </control>
          </mc:Choice>
        </mc:AlternateContent>
        <mc:AlternateContent xmlns:mc="http://schemas.openxmlformats.org/markup-compatibility/2006">
          <mc:Choice Requires="x14">
            <control shapeId="44039" r:id="rId8" name="Button 7">
              <controlPr defaultSize="0" print="0" autoFill="0" autoPict="0" macro="[0]!TilbageTilHovedmenuFraIndtastningRoer">
                <anchor moveWithCells="1" sizeWithCells="1">
                  <from>
                    <xdr:col>15</xdr:col>
                    <xdr:colOff>352425</xdr:colOff>
                    <xdr:row>34</xdr:row>
                    <xdr:rowOff>104775</xdr:rowOff>
                  </from>
                  <to>
                    <xdr:col>15</xdr:col>
                    <xdr:colOff>2095500</xdr:colOff>
                    <xdr:row>36</xdr:row>
                    <xdr:rowOff>28575</xdr:rowOff>
                  </to>
                </anchor>
              </controlPr>
            </control>
          </mc:Choice>
        </mc:AlternateContent>
        <mc:AlternateContent xmlns:mc="http://schemas.openxmlformats.org/markup-compatibility/2006">
          <mc:Choice Requires="x14">
            <control shapeId="44042" r:id="rId9" name="Drop Down 10">
              <controlPr defaultSize="0" autoLine="0" autoPict="0">
                <anchor moveWithCells="1">
                  <from>
                    <xdr:col>12</xdr:col>
                    <xdr:colOff>9525</xdr:colOff>
                    <xdr:row>21</xdr:row>
                    <xdr:rowOff>161925</xdr:rowOff>
                  </from>
                  <to>
                    <xdr:col>13</xdr:col>
                    <xdr:colOff>390525</xdr:colOff>
                    <xdr:row>23</xdr:row>
                    <xdr:rowOff>9525</xdr:rowOff>
                  </to>
                </anchor>
              </controlPr>
            </control>
          </mc:Choice>
        </mc:AlternateContent>
        <mc:AlternateContent xmlns:mc="http://schemas.openxmlformats.org/markup-compatibility/2006">
          <mc:Choice Requires="x14">
            <control shapeId="44051" r:id="rId10" name="Drop Down 19">
              <controlPr defaultSize="0" autoLine="0" autoPict="0">
                <anchor moveWithCells="1">
                  <from>
                    <xdr:col>11</xdr:col>
                    <xdr:colOff>333375</xdr:colOff>
                    <xdr:row>4</xdr:row>
                    <xdr:rowOff>47625</xdr:rowOff>
                  </from>
                  <to>
                    <xdr:col>13</xdr:col>
                    <xdr:colOff>152400</xdr:colOff>
                    <xdr:row>5</xdr:row>
                    <xdr:rowOff>57150</xdr:rowOff>
                  </to>
                </anchor>
              </controlPr>
            </control>
          </mc:Choice>
        </mc:AlternateContent>
        <mc:AlternateContent xmlns:mc="http://schemas.openxmlformats.org/markup-compatibility/2006">
          <mc:Choice Requires="x14">
            <control shapeId="44054" r:id="rId11" name="Drop Down 22">
              <controlPr defaultSize="0" autoLine="0" autoPict="0">
                <anchor moveWithCells="1">
                  <from>
                    <xdr:col>12</xdr:col>
                    <xdr:colOff>9525</xdr:colOff>
                    <xdr:row>35</xdr:row>
                    <xdr:rowOff>161925</xdr:rowOff>
                  </from>
                  <to>
                    <xdr:col>13</xdr:col>
                    <xdr:colOff>390525</xdr:colOff>
                    <xdr:row>37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U70"/>
  <sheetViews>
    <sheetView topLeftCell="A10" workbookViewId="0">
      <selection activeCell="D42" sqref="D42"/>
    </sheetView>
  </sheetViews>
  <sheetFormatPr defaultRowHeight="15" x14ac:dyDescent="0.25"/>
  <cols>
    <col min="1" max="1" width="4" customWidth="1"/>
    <col min="2" max="2" width="32.5703125" bestFit="1" customWidth="1"/>
    <col min="3" max="3" width="10.85546875" customWidth="1"/>
    <col min="4" max="4" width="9.28515625" customWidth="1"/>
    <col min="5" max="5" width="9.85546875" customWidth="1"/>
    <col min="6" max="6" width="7.7109375" customWidth="1"/>
    <col min="7" max="7" width="12.42578125" customWidth="1"/>
    <col min="8" max="8" width="10.140625" customWidth="1"/>
    <col min="9" max="9" width="10.28515625" bestFit="1" customWidth="1"/>
    <col min="10" max="11" width="15" customWidth="1"/>
    <col min="12" max="12" width="18.28515625" customWidth="1"/>
    <col min="13" max="13" width="14.85546875" customWidth="1"/>
    <col min="14" max="14" width="6.85546875" bestFit="1" customWidth="1"/>
    <col min="15" max="15" width="8.85546875" bestFit="1" customWidth="1"/>
    <col min="16" max="17" width="10.140625" bestFit="1" customWidth="1"/>
    <col min="18" max="18" width="8.28515625" bestFit="1" customWidth="1"/>
    <col min="19" max="19" width="16.28515625" bestFit="1" customWidth="1"/>
    <col min="20" max="20" width="14" bestFit="1" customWidth="1"/>
    <col min="21" max="21" width="14.5703125" bestFit="1" customWidth="1"/>
  </cols>
  <sheetData>
    <row r="1" spans="1:21" ht="21" x14ac:dyDescent="0.35">
      <c r="A1" s="417" t="s">
        <v>145</v>
      </c>
      <c r="B1" s="417"/>
      <c r="C1" s="417"/>
      <c r="D1" s="417"/>
      <c r="E1" s="417"/>
      <c r="F1" s="417"/>
      <c r="G1" s="417"/>
      <c r="H1" s="417"/>
      <c r="I1" s="417"/>
      <c r="J1" s="417"/>
      <c r="K1" s="417"/>
      <c r="L1" s="417"/>
      <c r="M1" s="417"/>
    </row>
    <row r="3" spans="1:21" x14ac:dyDescent="0.25">
      <c r="A3" s="40"/>
      <c r="B3" s="40"/>
      <c r="C3" s="40" t="s">
        <v>149</v>
      </c>
      <c r="D3" s="40" t="s">
        <v>150</v>
      </c>
      <c r="E3" s="40" t="s">
        <v>151</v>
      </c>
      <c r="F3" s="40" t="s">
        <v>152</v>
      </c>
      <c r="G3" s="40" t="s">
        <v>56</v>
      </c>
      <c r="H3" s="40" t="s">
        <v>163</v>
      </c>
      <c r="I3" s="40" t="s">
        <v>153</v>
      </c>
      <c r="J3" s="40" t="s">
        <v>154</v>
      </c>
      <c r="K3" s="40" t="s">
        <v>528</v>
      </c>
      <c r="L3" s="40" t="s">
        <v>18</v>
      </c>
      <c r="M3" s="40" t="s">
        <v>19</v>
      </c>
      <c r="N3" s="40" t="s">
        <v>20</v>
      </c>
      <c r="O3" s="40" t="s">
        <v>21</v>
      </c>
      <c r="P3" s="40" t="s">
        <v>155</v>
      </c>
      <c r="Q3" s="40" t="s">
        <v>156</v>
      </c>
      <c r="R3" s="40" t="s">
        <v>157</v>
      </c>
      <c r="S3" s="40" t="s">
        <v>158</v>
      </c>
      <c r="T3" s="40" t="s">
        <v>159</v>
      </c>
      <c r="U3" s="40" t="s">
        <v>160</v>
      </c>
    </row>
    <row r="4" spans="1:21" x14ac:dyDescent="0.25">
      <c r="A4" s="45"/>
      <c r="B4" s="45" t="s">
        <v>146</v>
      </c>
      <c r="C4" s="45">
        <v>1</v>
      </c>
      <c r="D4" s="45">
        <v>155</v>
      </c>
      <c r="E4" s="45">
        <v>23</v>
      </c>
      <c r="F4" s="45">
        <v>213</v>
      </c>
      <c r="G4" s="45">
        <v>0</v>
      </c>
      <c r="H4" s="45">
        <v>1</v>
      </c>
      <c r="I4" s="45">
        <v>1</v>
      </c>
      <c r="J4" s="45">
        <v>1</v>
      </c>
      <c r="K4" s="45">
        <v>1</v>
      </c>
      <c r="L4" s="45">
        <v>1</v>
      </c>
      <c r="M4" s="45">
        <v>2</v>
      </c>
      <c r="N4" s="45">
        <v>1</v>
      </c>
      <c r="O4" s="45">
        <v>1</v>
      </c>
      <c r="P4" s="45">
        <v>4</v>
      </c>
      <c r="Q4" s="45">
        <v>1</v>
      </c>
      <c r="R4" s="45">
        <v>0</v>
      </c>
      <c r="S4" s="45">
        <v>0</v>
      </c>
      <c r="T4" s="45">
        <v>0</v>
      </c>
      <c r="U4" s="45">
        <v>1</v>
      </c>
    </row>
    <row r="5" spans="1:21" x14ac:dyDescent="0.25">
      <c r="A5" s="45"/>
      <c r="B5" s="45" t="s">
        <v>147</v>
      </c>
      <c r="C5" s="45">
        <v>1</v>
      </c>
      <c r="D5" s="45">
        <v>181</v>
      </c>
      <c r="E5" s="45">
        <v>29</v>
      </c>
      <c r="F5" s="45">
        <v>280</v>
      </c>
      <c r="G5" s="45">
        <v>0</v>
      </c>
      <c r="H5" s="45">
        <v>1</v>
      </c>
      <c r="I5" s="45">
        <v>1</v>
      </c>
      <c r="J5" s="45">
        <v>1</v>
      </c>
      <c r="K5" s="45">
        <v>1</v>
      </c>
      <c r="L5" s="45">
        <v>1</v>
      </c>
      <c r="M5" s="45">
        <v>2</v>
      </c>
      <c r="N5" s="45">
        <v>1</v>
      </c>
      <c r="O5" s="45">
        <v>1</v>
      </c>
      <c r="P5" s="45">
        <v>4</v>
      </c>
      <c r="Q5" s="45">
        <v>1</v>
      </c>
      <c r="R5" s="45">
        <v>1</v>
      </c>
      <c r="S5" s="45">
        <v>2</v>
      </c>
      <c r="T5" s="45">
        <v>5</v>
      </c>
      <c r="U5" s="45">
        <v>1</v>
      </c>
    </row>
    <row r="6" spans="1:21" x14ac:dyDescent="0.25">
      <c r="A6" s="45"/>
      <c r="B6" s="45" t="s">
        <v>148</v>
      </c>
      <c r="C6" s="45">
        <v>1</v>
      </c>
      <c r="D6" s="45">
        <v>168</v>
      </c>
      <c r="E6" s="45">
        <v>30</v>
      </c>
      <c r="F6" s="45">
        <v>281</v>
      </c>
      <c r="G6" s="45">
        <v>0</v>
      </c>
      <c r="H6" s="45">
        <v>1</v>
      </c>
      <c r="I6" s="45">
        <v>1</v>
      </c>
      <c r="J6" s="45">
        <v>1</v>
      </c>
      <c r="K6" s="45">
        <v>1</v>
      </c>
      <c r="L6" s="45">
        <v>1</v>
      </c>
      <c r="M6" s="45">
        <v>2</v>
      </c>
      <c r="N6" s="45">
        <v>1</v>
      </c>
      <c r="O6" s="45">
        <v>1</v>
      </c>
      <c r="P6" s="45">
        <v>4</v>
      </c>
      <c r="Q6" s="45">
        <v>1</v>
      </c>
      <c r="R6" s="45">
        <v>0</v>
      </c>
      <c r="S6" s="45">
        <v>0</v>
      </c>
      <c r="T6" s="45">
        <v>0</v>
      </c>
      <c r="U6" s="45">
        <v>1</v>
      </c>
    </row>
    <row r="7" spans="1:21" x14ac:dyDescent="0.25">
      <c r="A7" s="45"/>
      <c r="B7" s="45" t="s">
        <v>504</v>
      </c>
      <c r="C7" s="45">
        <v>1</v>
      </c>
      <c r="D7" s="45">
        <v>7</v>
      </c>
      <c r="E7" s="45">
        <v>0</v>
      </c>
      <c r="F7" s="45">
        <v>0</v>
      </c>
      <c r="G7" s="45">
        <v>40</v>
      </c>
      <c r="H7" s="45">
        <v>1</v>
      </c>
      <c r="I7" s="45">
        <v>1</v>
      </c>
      <c r="J7" s="45">
        <v>1</v>
      </c>
      <c r="K7" s="45">
        <v>-40</v>
      </c>
      <c r="L7" s="45">
        <v>1</v>
      </c>
      <c r="M7" s="45">
        <v>2</v>
      </c>
      <c r="N7" s="45">
        <v>1</v>
      </c>
      <c r="O7" s="45">
        <v>1</v>
      </c>
      <c r="P7" s="45">
        <v>4</v>
      </c>
      <c r="Q7" s="45">
        <v>1</v>
      </c>
      <c r="R7" s="45">
        <v>0</v>
      </c>
      <c r="S7" s="45">
        <v>0</v>
      </c>
      <c r="T7" s="45">
        <v>0</v>
      </c>
      <c r="U7" s="45">
        <v>1</v>
      </c>
    </row>
    <row r="8" spans="1:21" x14ac:dyDescent="0.25">
      <c r="A8" s="45"/>
      <c r="B8" s="45" t="s">
        <v>505</v>
      </c>
      <c r="C8" s="45">
        <v>1</v>
      </c>
      <c r="D8" s="45">
        <v>33</v>
      </c>
      <c r="E8" s="45">
        <v>0</v>
      </c>
      <c r="F8" s="45">
        <v>0</v>
      </c>
      <c r="G8" s="45">
        <v>40</v>
      </c>
      <c r="H8" s="45">
        <v>1</v>
      </c>
      <c r="I8" s="45">
        <v>1</v>
      </c>
      <c r="J8" s="45">
        <v>1</v>
      </c>
      <c r="K8" s="45">
        <v>-40</v>
      </c>
      <c r="L8" s="45">
        <v>1</v>
      </c>
      <c r="M8" s="45">
        <v>2</v>
      </c>
      <c r="N8" s="45">
        <v>1</v>
      </c>
      <c r="O8" s="45">
        <v>1</v>
      </c>
      <c r="P8" s="45">
        <v>4</v>
      </c>
      <c r="Q8" s="45">
        <v>1</v>
      </c>
      <c r="R8" s="45">
        <v>1</v>
      </c>
      <c r="S8" s="45">
        <v>2</v>
      </c>
      <c r="T8" s="45">
        <v>5</v>
      </c>
      <c r="U8" s="45">
        <v>1</v>
      </c>
    </row>
    <row r="9" spans="1:21" x14ac:dyDescent="0.25">
      <c r="A9" s="45"/>
      <c r="B9" s="45" t="s">
        <v>506</v>
      </c>
      <c r="C9" s="45">
        <v>1</v>
      </c>
      <c r="D9" s="45">
        <v>20</v>
      </c>
      <c r="E9" s="45">
        <v>0</v>
      </c>
      <c r="F9" s="45">
        <v>0</v>
      </c>
      <c r="G9" s="45">
        <v>40</v>
      </c>
      <c r="H9" s="45">
        <v>1</v>
      </c>
      <c r="I9" s="45">
        <v>1</v>
      </c>
      <c r="J9" s="45">
        <v>1</v>
      </c>
      <c r="K9" s="45">
        <v>-40</v>
      </c>
      <c r="L9" s="45">
        <v>1</v>
      </c>
      <c r="M9" s="45">
        <v>2</v>
      </c>
      <c r="N9" s="45">
        <v>1</v>
      </c>
      <c r="O9" s="45">
        <v>1</v>
      </c>
      <c r="P9" s="45">
        <v>4</v>
      </c>
      <c r="Q9" s="45">
        <v>1</v>
      </c>
      <c r="R9" s="45">
        <v>0</v>
      </c>
      <c r="S9" s="45">
        <v>0</v>
      </c>
      <c r="T9" s="45">
        <v>0</v>
      </c>
      <c r="U9" s="45">
        <v>1</v>
      </c>
    </row>
    <row r="11" spans="1:21" s="45" customFormat="1" x14ac:dyDescent="0.25">
      <c r="B11" s="45" t="s">
        <v>146</v>
      </c>
      <c r="C11" s="45">
        <v>-1400</v>
      </c>
      <c r="D11" s="45">
        <v>-8</v>
      </c>
      <c r="E11" s="45">
        <v>-12</v>
      </c>
      <c r="F11" s="45">
        <v>-6</v>
      </c>
      <c r="G11" s="45">
        <v>0</v>
      </c>
      <c r="H11" s="45">
        <v>-1540</v>
      </c>
      <c r="I11" s="45">
        <v>-650</v>
      </c>
      <c r="J11" s="45">
        <v>-200</v>
      </c>
      <c r="K11" s="45">
        <v>0</v>
      </c>
      <c r="L11" s="45">
        <v>-133</v>
      </c>
      <c r="M11" s="45">
        <v>-152</v>
      </c>
      <c r="N11" s="45">
        <v>-475</v>
      </c>
      <c r="O11" s="45">
        <v>-160</v>
      </c>
      <c r="P11" s="45">
        <v>-200</v>
      </c>
      <c r="Q11" s="45">
        <v>-1497</v>
      </c>
      <c r="R11" s="45">
        <v>0</v>
      </c>
      <c r="S11" s="45">
        <v>0</v>
      </c>
      <c r="T11" s="45">
        <v>0</v>
      </c>
      <c r="U11" s="45">
        <v>-500</v>
      </c>
    </row>
    <row r="12" spans="1:21" s="45" customFormat="1" x14ac:dyDescent="0.25">
      <c r="B12" s="45" t="s">
        <v>147</v>
      </c>
      <c r="C12" s="45">
        <v>-1400</v>
      </c>
      <c r="D12" s="45">
        <v>-8</v>
      </c>
      <c r="E12" s="45">
        <v>-12</v>
      </c>
      <c r="F12" s="45">
        <v>-6</v>
      </c>
      <c r="G12" s="45">
        <v>0</v>
      </c>
      <c r="H12" s="45">
        <v>-1540</v>
      </c>
      <c r="I12" s="45">
        <v>-650</v>
      </c>
      <c r="J12" s="45">
        <v>-200</v>
      </c>
      <c r="K12" s="45">
        <v>0</v>
      </c>
      <c r="L12" s="45">
        <v>-133</v>
      </c>
      <c r="M12" s="45">
        <v>-152</v>
      </c>
      <c r="N12" s="45">
        <v>-475</v>
      </c>
      <c r="O12" s="45">
        <v>-160</v>
      </c>
      <c r="P12" s="45">
        <v>-200</v>
      </c>
      <c r="Q12" s="45">
        <v>-1722</v>
      </c>
      <c r="R12" s="45">
        <v>-1130</v>
      </c>
      <c r="S12" s="45">
        <v>-110</v>
      </c>
      <c r="T12" s="45">
        <v>-70</v>
      </c>
      <c r="U12" s="45">
        <v>-500</v>
      </c>
    </row>
    <row r="13" spans="1:21" s="45" customFormat="1" x14ac:dyDescent="0.25">
      <c r="B13" s="45" t="s">
        <v>148</v>
      </c>
      <c r="C13" s="45">
        <v>-1400</v>
      </c>
      <c r="D13" s="45">
        <v>-8</v>
      </c>
      <c r="E13" s="45">
        <v>-12</v>
      </c>
      <c r="F13" s="45">
        <v>-6</v>
      </c>
      <c r="G13" s="45">
        <v>0</v>
      </c>
      <c r="H13" s="45">
        <v>-1540</v>
      </c>
      <c r="I13" s="45">
        <v>-650</v>
      </c>
      <c r="J13" s="45">
        <v>-200</v>
      </c>
      <c r="K13" s="45">
        <v>0</v>
      </c>
      <c r="L13" s="45">
        <v>-140</v>
      </c>
      <c r="M13" s="45">
        <v>-160</v>
      </c>
      <c r="N13" s="45">
        <v>-500</v>
      </c>
      <c r="O13" s="45">
        <v>-160</v>
      </c>
      <c r="P13" s="45">
        <v>-200</v>
      </c>
      <c r="Q13" s="45">
        <v>-1794</v>
      </c>
      <c r="R13" s="45">
        <v>0</v>
      </c>
      <c r="S13" s="45">
        <v>0</v>
      </c>
      <c r="T13" s="45">
        <v>0</v>
      </c>
      <c r="U13" s="45">
        <v>-500</v>
      </c>
    </row>
    <row r="14" spans="1:21" s="45" customFormat="1" x14ac:dyDescent="0.25">
      <c r="B14" s="45" t="s">
        <v>262</v>
      </c>
      <c r="C14" s="45">
        <v>-1400</v>
      </c>
      <c r="D14" s="45">
        <v>-8</v>
      </c>
      <c r="E14" s="45" t="s">
        <v>129</v>
      </c>
      <c r="F14" s="45" t="s">
        <v>129</v>
      </c>
      <c r="G14" s="45">
        <v>0</v>
      </c>
      <c r="H14" s="45">
        <v>-1540</v>
      </c>
      <c r="I14" s="45">
        <v>-650</v>
      </c>
      <c r="J14" s="45">
        <v>-200</v>
      </c>
      <c r="K14" s="45">
        <v>20</v>
      </c>
      <c r="L14" s="45">
        <v>-133</v>
      </c>
      <c r="M14" s="45">
        <v>-152</v>
      </c>
      <c r="N14" s="45">
        <v>-475</v>
      </c>
      <c r="O14" s="45">
        <v>-160</v>
      </c>
      <c r="P14" s="45">
        <v>-200</v>
      </c>
      <c r="Q14" s="45">
        <v>-1497</v>
      </c>
      <c r="R14" s="45">
        <v>0</v>
      </c>
      <c r="S14" s="45">
        <v>0</v>
      </c>
      <c r="T14" s="45">
        <v>0</v>
      </c>
      <c r="U14" s="45">
        <v>-500</v>
      </c>
    </row>
    <row r="15" spans="1:21" s="45" customFormat="1" x14ac:dyDescent="0.25">
      <c r="B15" s="45" t="s">
        <v>507</v>
      </c>
      <c r="C15" s="45">
        <v>-1400</v>
      </c>
      <c r="D15" s="45">
        <v>-8</v>
      </c>
      <c r="E15" s="45" t="s">
        <v>129</v>
      </c>
      <c r="F15" s="45" t="s">
        <v>129</v>
      </c>
      <c r="G15" s="45">
        <v>0</v>
      </c>
      <c r="H15" s="45">
        <v>-1540</v>
      </c>
      <c r="I15" s="45">
        <v>-650</v>
      </c>
      <c r="J15" s="45">
        <v>-200</v>
      </c>
      <c r="K15" s="45">
        <v>20</v>
      </c>
      <c r="L15" s="45">
        <v>-133</v>
      </c>
      <c r="M15" s="45">
        <v>-152</v>
      </c>
      <c r="N15" s="45">
        <v>-475</v>
      </c>
      <c r="O15" s="45">
        <v>-160</v>
      </c>
      <c r="P15" s="45">
        <v>-200</v>
      </c>
      <c r="Q15" s="45">
        <v>-1722</v>
      </c>
      <c r="R15" s="45">
        <v>-1130</v>
      </c>
      <c r="S15" s="45">
        <v>-110</v>
      </c>
      <c r="T15" s="45">
        <v>-70</v>
      </c>
      <c r="U15" s="45">
        <v>-500</v>
      </c>
    </row>
    <row r="16" spans="1:21" s="45" customFormat="1" x14ac:dyDescent="0.25">
      <c r="B16" s="45" t="s">
        <v>508</v>
      </c>
      <c r="C16" s="45">
        <v>-1400</v>
      </c>
      <c r="D16" s="45">
        <v>-8</v>
      </c>
      <c r="E16" s="45" t="s">
        <v>129</v>
      </c>
      <c r="F16" s="45" t="s">
        <v>129</v>
      </c>
      <c r="G16" s="45">
        <v>0</v>
      </c>
      <c r="H16" s="45">
        <v>-1540</v>
      </c>
      <c r="I16" s="45">
        <v>-650</v>
      </c>
      <c r="J16" s="45">
        <v>-200</v>
      </c>
      <c r="K16" s="45">
        <v>20</v>
      </c>
      <c r="L16" s="45">
        <v>-140</v>
      </c>
      <c r="M16" s="45">
        <v>-160</v>
      </c>
      <c r="N16" s="45">
        <v>-500</v>
      </c>
      <c r="O16" s="45">
        <v>-160</v>
      </c>
      <c r="P16" s="45">
        <v>-200</v>
      </c>
      <c r="Q16" s="45">
        <v>-1700</v>
      </c>
      <c r="R16" s="45">
        <v>0</v>
      </c>
      <c r="S16" s="45">
        <v>0</v>
      </c>
      <c r="T16" s="45">
        <v>0</v>
      </c>
      <c r="U16" s="45">
        <v>-500</v>
      </c>
    </row>
    <row r="18" spans="1:21" x14ac:dyDescent="0.25">
      <c r="A18" s="40">
        <v>1</v>
      </c>
      <c r="B18" s="40" t="s">
        <v>146</v>
      </c>
      <c r="C18" s="40">
        <f>C4*C11</f>
        <v>-1400</v>
      </c>
      <c r="D18" s="40">
        <f>D4*D11</f>
        <v>-1240</v>
      </c>
      <c r="E18" s="40">
        <f t="shared" ref="E18:G18" si="0">E4*E11</f>
        <v>-276</v>
      </c>
      <c r="F18" s="40">
        <f t="shared" si="0"/>
        <v>-1278</v>
      </c>
      <c r="G18" s="40">
        <f t="shared" si="0"/>
        <v>0</v>
      </c>
      <c r="H18" s="40">
        <f t="shared" ref="H18:N18" si="1">H4*H11</f>
        <v>-1540</v>
      </c>
      <c r="I18" s="40">
        <f t="shared" si="1"/>
        <v>-650</v>
      </c>
      <c r="J18" s="40">
        <f t="shared" si="1"/>
        <v>-200</v>
      </c>
      <c r="K18" s="40">
        <v>0</v>
      </c>
      <c r="L18" s="40">
        <f t="shared" si="1"/>
        <v>-133</v>
      </c>
      <c r="M18" s="40">
        <f t="shared" si="1"/>
        <v>-304</v>
      </c>
      <c r="N18" s="40">
        <f t="shared" si="1"/>
        <v>-475</v>
      </c>
      <c r="O18" s="40">
        <f t="shared" ref="O18:T18" si="2">O4*O11</f>
        <v>-160</v>
      </c>
      <c r="P18" s="40">
        <f t="shared" si="2"/>
        <v>-800</v>
      </c>
      <c r="Q18" s="40">
        <f t="shared" si="2"/>
        <v>-1497</v>
      </c>
      <c r="R18" s="40">
        <f t="shared" si="2"/>
        <v>0</v>
      </c>
      <c r="S18" s="40">
        <f t="shared" si="2"/>
        <v>0</v>
      </c>
      <c r="T18" s="40">
        <f t="shared" si="2"/>
        <v>0</v>
      </c>
      <c r="U18" s="40">
        <f>U4*U11</f>
        <v>-500</v>
      </c>
    </row>
    <row r="19" spans="1:21" x14ac:dyDescent="0.25">
      <c r="A19" s="40">
        <v>2</v>
      </c>
      <c r="B19" s="40" t="s">
        <v>147</v>
      </c>
      <c r="C19" s="40">
        <f t="shared" ref="C19:I23" si="3">C5*C12</f>
        <v>-1400</v>
      </c>
      <c r="D19" s="40">
        <f t="shared" si="3"/>
        <v>-1448</v>
      </c>
      <c r="E19" s="40">
        <f t="shared" si="3"/>
        <v>-348</v>
      </c>
      <c r="F19" s="40">
        <f t="shared" si="3"/>
        <v>-1680</v>
      </c>
      <c r="G19" s="40">
        <f t="shared" si="3"/>
        <v>0</v>
      </c>
      <c r="H19" s="40">
        <f t="shared" si="3"/>
        <v>-1540</v>
      </c>
      <c r="I19" s="40">
        <f t="shared" si="3"/>
        <v>-650</v>
      </c>
      <c r="J19" s="40">
        <f t="shared" ref="J19:T19" si="4">J5*J12</f>
        <v>-200</v>
      </c>
      <c r="K19" s="40">
        <v>0</v>
      </c>
      <c r="L19" s="40">
        <f t="shared" si="4"/>
        <v>-133</v>
      </c>
      <c r="M19" s="40">
        <f t="shared" si="4"/>
        <v>-304</v>
      </c>
      <c r="N19" s="40">
        <f t="shared" si="4"/>
        <v>-475</v>
      </c>
      <c r="O19" s="40">
        <f t="shared" si="4"/>
        <v>-160</v>
      </c>
      <c r="P19" s="40">
        <f t="shared" si="4"/>
        <v>-800</v>
      </c>
      <c r="Q19" s="40">
        <f t="shared" si="4"/>
        <v>-1722</v>
      </c>
      <c r="R19" s="40">
        <f t="shared" si="4"/>
        <v>-1130</v>
      </c>
      <c r="S19" s="40">
        <f t="shared" si="4"/>
        <v>-220</v>
      </c>
      <c r="T19" s="40">
        <f t="shared" si="4"/>
        <v>-350</v>
      </c>
      <c r="U19" s="40">
        <f t="shared" ref="U19" si="5">U5*U12</f>
        <v>-500</v>
      </c>
    </row>
    <row r="20" spans="1:21" x14ac:dyDescent="0.25">
      <c r="A20" s="40">
        <v>3</v>
      </c>
      <c r="B20" s="40" t="s">
        <v>148</v>
      </c>
      <c r="C20" s="40">
        <f t="shared" si="3"/>
        <v>-1400</v>
      </c>
      <c r="D20" s="40">
        <f t="shared" si="3"/>
        <v>-1344</v>
      </c>
      <c r="E20" s="40">
        <f t="shared" si="3"/>
        <v>-360</v>
      </c>
      <c r="F20" s="40">
        <f t="shared" si="3"/>
        <v>-1686</v>
      </c>
      <c r="G20" s="40">
        <f t="shared" si="3"/>
        <v>0</v>
      </c>
      <c r="H20" s="40">
        <f t="shared" si="3"/>
        <v>-1540</v>
      </c>
      <c r="I20" s="40">
        <f t="shared" si="3"/>
        <v>-650</v>
      </c>
      <c r="J20" s="40">
        <f t="shared" ref="J20:T20" si="6">J6*J13</f>
        <v>-200</v>
      </c>
      <c r="K20" s="40">
        <v>0</v>
      </c>
      <c r="L20" s="40">
        <f t="shared" si="6"/>
        <v>-140</v>
      </c>
      <c r="M20" s="40">
        <f t="shared" si="6"/>
        <v>-320</v>
      </c>
      <c r="N20" s="40">
        <f t="shared" si="6"/>
        <v>-500</v>
      </c>
      <c r="O20" s="40">
        <f t="shared" si="6"/>
        <v>-160</v>
      </c>
      <c r="P20" s="40">
        <f t="shared" si="6"/>
        <v>-800</v>
      </c>
      <c r="Q20" s="40">
        <f t="shared" si="6"/>
        <v>-1794</v>
      </c>
      <c r="R20" s="40">
        <f t="shared" si="6"/>
        <v>0</v>
      </c>
      <c r="S20" s="40">
        <f t="shared" si="6"/>
        <v>0</v>
      </c>
      <c r="T20" s="40">
        <f t="shared" si="6"/>
        <v>0</v>
      </c>
      <c r="U20" s="40">
        <f t="shared" ref="U20" si="7">U6*U13</f>
        <v>-500</v>
      </c>
    </row>
    <row r="21" spans="1:21" x14ac:dyDescent="0.25">
      <c r="A21" s="40">
        <v>4</v>
      </c>
      <c r="B21" s="40" t="s">
        <v>262</v>
      </c>
      <c r="C21" s="40">
        <f t="shared" si="3"/>
        <v>-1400</v>
      </c>
      <c r="D21" s="40">
        <f t="shared" si="3"/>
        <v>-56</v>
      </c>
      <c r="E21" s="40">
        <v>0</v>
      </c>
      <c r="F21" s="40">
        <v>0</v>
      </c>
      <c r="G21" s="40">
        <f t="shared" ref="G21:I21" si="8">G7*G14</f>
        <v>0</v>
      </c>
      <c r="H21" s="40">
        <f t="shared" si="8"/>
        <v>-1540</v>
      </c>
      <c r="I21" s="40">
        <f t="shared" si="8"/>
        <v>-650</v>
      </c>
      <c r="J21" s="40">
        <f t="shared" ref="J21:T21" si="9">J7*J14</f>
        <v>-200</v>
      </c>
      <c r="K21" s="40">
        <f>K7*K14</f>
        <v>-800</v>
      </c>
      <c r="L21" s="40">
        <f t="shared" si="9"/>
        <v>-133</v>
      </c>
      <c r="M21" s="40">
        <f t="shared" si="9"/>
        <v>-304</v>
      </c>
      <c r="N21" s="40">
        <f t="shared" si="9"/>
        <v>-475</v>
      </c>
      <c r="O21" s="40">
        <f t="shared" si="9"/>
        <v>-160</v>
      </c>
      <c r="P21" s="40">
        <f t="shared" si="9"/>
        <v>-800</v>
      </c>
      <c r="Q21" s="40">
        <f t="shared" si="9"/>
        <v>-1497</v>
      </c>
      <c r="R21" s="40">
        <f t="shared" si="9"/>
        <v>0</v>
      </c>
      <c r="S21" s="40">
        <f t="shared" si="9"/>
        <v>0</v>
      </c>
      <c r="T21" s="40">
        <f t="shared" si="9"/>
        <v>0</v>
      </c>
      <c r="U21" s="40">
        <f t="shared" ref="U21" si="10">U7*U14</f>
        <v>-500</v>
      </c>
    </row>
    <row r="22" spans="1:21" x14ac:dyDescent="0.25">
      <c r="A22" s="40">
        <v>5</v>
      </c>
      <c r="B22" s="40" t="s">
        <v>507</v>
      </c>
      <c r="C22" s="40">
        <f t="shared" si="3"/>
        <v>-1400</v>
      </c>
      <c r="D22" s="40">
        <f t="shared" si="3"/>
        <v>-264</v>
      </c>
      <c r="E22" s="40">
        <v>0</v>
      </c>
      <c r="F22" s="40">
        <v>0</v>
      </c>
      <c r="G22" s="40">
        <f t="shared" ref="G22:I22" si="11">G8*G15</f>
        <v>0</v>
      </c>
      <c r="H22" s="40">
        <f t="shared" si="11"/>
        <v>-1540</v>
      </c>
      <c r="I22" s="40">
        <f t="shared" si="11"/>
        <v>-650</v>
      </c>
      <c r="J22" s="40">
        <f t="shared" ref="J22:T22" si="12">J8*J15</f>
        <v>-200</v>
      </c>
      <c r="K22" s="40">
        <f t="shared" si="12"/>
        <v>-800</v>
      </c>
      <c r="L22" s="40">
        <f t="shared" si="12"/>
        <v>-133</v>
      </c>
      <c r="M22" s="40">
        <f t="shared" si="12"/>
        <v>-304</v>
      </c>
      <c r="N22" s="40">
        <f t="shared" si="12"/>
        <v>-475</v>
      </c>
      <c r="O22" s="40">
        <f t="shared" si="12"/>
        <v>-160</v>
      </c>
      <c r="P22" s="40">
        <f t="shared" si="12"/>
        <v>-800</v>
      </c>
      <c r="Q22" s="40">
        <f t="shared" si="12"/>
        <v>-1722</v>
      </c>
      <c r="R22" s="40">
        <f t="shared" si="12"/>
        <v>-1130</v>
      </c>
      <c r="S22" s="40">
        <f t="shared" si="12"/>
        <v>-220</v>
      </c>
      <c r="T22" s="40">
        <f t="shared" si="12"/>
        <v>-350</v>
      </c>
      <c r="U22" s="40">
        <f t="shared" ref="U22" si="13">U8*U15</f>
        <v>-500</v>
      </c>
    </row>
    <row r="23" spans="1:21" x14ac:dyDescent="0.25">
      <c r="A23" s="40">
        <v>6</v>
      </c>
      <c r="B23" s="40" t="s">
        <v>508</v>
      </c>
      <c r="C23" s="40">
        <f t="shared" si="3"/>
        <v>-1400</v>
      </c>
      <c r="D23" s="40">
        <f t="shared" si="3"/>
        <v>-160</v>
      </c>
      <c r="E23" s="40">
        <v>0</v>
      </c>
      <c r="F23" s="40">
        <v>0</v>
      </c>
      <c r="G23" s="40">
        <f t="shared" ref="G23:I23" si="14">G9*G16</f>
        <v>0</v>
      </c>
      <c r="H23" s="40">
        <f t="shared" si="14"/>
        <v>-1540</v>
      </c>
      <c r="I23" s="40">
        <f t="shared" si="14"/>
        <v>-650</v>
      </c>
      <c r="J23" s="40">
        <f t="shared" ref="J23:T23" si="15">J9*J16</f>
        <v>-200</v>
      </c>
      <c r="K23" s="40">
        <f t="shared" si="15"/>
        <v>-800</v>
      </c>
      <c r="L23" s="40">
        <f t="shared" si="15"/>
        <v>-140</v>
      </c>
      <c r="M23" s="40">
        <f t="shared" si="15"/>
        <v>-320</v>
      </c>
      <c r="N23" s="40">
        <f t="shared" si="15"/>
        <v>-500</v>
      </c>
      <c r="O23" s="40">
        <f t="shared" si="15"/>
        <v>-160</v>
      </c>
      <c r="P23" s="40">
        <f t="shared" si="15"/>
        <v>-800</v>
      </c>
      <c r="Q23" s="40">
        <f t="shared" si="15"/>
        <v>-1700</v>
      </c>
      <c r="R23" s="40">
        <f t="shared" si="15"/>
        <v>0</v>
      </c>
      <c r="S23" s="40">
        <f t="shared" si="15"/>
        <v>0</v>
      </c>
      <c r="T23" s="40">
        <f t="shared" si="15"/>
        <v>0</v>
      </c>
      <c r="U23" s="40">
        <f t="shared" ref="U23" si="16">U9*U16</f>
        <v>-500</v>
      </c>
    </row>
    <row r="24" spans="1:21" x14ac:dyDescent="0.25">
      <c r="A24" s="45"/>
      <c r="B24" s="45"/>
      <c r="C24" s="45"/>
      <c r="D24" s="45"/>
      <c r="E24" s="45"/>
      <c r="F24" s="45"/>
      <c r="G24" s="45"/>
      <c r="H24" s="56"/>
      <c r="I24" s="45"/>
      <c r="J24" s="56"/>
      <c r="K24" s="56"/>
      <c r="L24" s="45"/>
    </row>
    <row r="25" spans="1:21" x14ac:dyDescent="0.25">
      <c r="A25" s="45"/>
      <c r="B25" s="45"/>
      <c r="C25" s="45"/>
      <c r="D25" s="45"/>
      <c r="E25" s="45"/>
      <c r="F25" s="45"/>
      <c r="G25" s="45"/>
      <c r="H25" s="45"/>
      <c r="I25" s="45"/>
      <c r="J25" s="45"/>
      <c r="K25" s="45"/>
      <c r="L25" s="45"/>
    </row>
    <row r="26" spans="1:21" x14ac:dyDescent="0.25">
      <c r="A26" s="45"/>
      <c r="B26" s="45"/>
      <c r="C26" s="45"/>
      <c r="D26" s="45" t="s">
        <v>510</v>
      </c>
      <c r="E26" s="45" t="s">
        <v>511</v>
      </c>
      <c r="F26" s="45" t="s">
        <v>515</v>
      </c>
      <c r="G26" s="45"/>
      <c r="H26" s="45"/>
      <c r="I26" s="45"/>
      <c r="J26" s="45"/>
      <c r="K26" s="45"/>
      <c r="L26" s="45"/>
    </row>
    <row r="27" spans="1:21" x14ac:dyDescent="0.25">
      <c r="A27" s="45"/>
      <c r="B27" s="45"/>
      <c r="C27" s="45" t="s">
        <v>347</v>
      </c>
      <c r="D27" s="45" t="s">
        <v>496</v>
      </c>
      <c r="E27" s="45" t="s">
        <v>497</v>
      </c>
      <c r="F27" s="45" t="s">
        <v>516</v>
      </c>
      <c r="G27" s="45"/>
      <c r="H27" s="45"/>
      <c r="I27" s="45"/>
      <c r="J27" s="45"/>
      <c r="K27" s="45"/>
      <c r="L27" s="45"/>
    </row>
    <row r="28" spans="1:21" x14ac:dyDescent="0.25">
      <c r="A28" s="45">
        <v>1</v>
      </c>
      <c r="B28" s="40" t="s">
        <v>180</v>
      </c>
      <c r="C28" s="40">
        <f>Forudsætninger!M32</f>
        <v>-1120</v>
      </c>
      <c r="D28" s="40">
        <f>Forudsætninger!M33</f>
        <v>70</v>
      </c>
      <c r="E28" s="40">
        <f>Forudsætninger!M34</f>
        <v>50</v>
      </c>
      <c r="F28" s="45">
        <f>E28*Forudsætninger!V9</f>
        <v>-0.3</v>
      </c>
      <c r="G28" s="45"/>
      <c r="H28" s="45"/>
      <c r="I28" s="45"/>
      <c r="J28" s="45"/>
      <c r="K28" s="45"/>
      <c r="L28" s="45"/>
      <c r="M28" s="45"/>
      <c r="N28" s="45"/>
    </row>
    <row r="29" spans="1:21" x14ac:dyDescent="0.25">
      <c r="A29" s="45">
        <v>2</v>
      </c>
      <c r="B29" s="40" t="s">
        <v>192</v>
      </c>
      <c r="C29" s="40">
        <f>Forudsætninger!M35</f>
        <v>-1120</v>
      </c>
      <c r="D29" s="40">
        <f>Forudsætninger!M36</f>
        <v>50</v>
      </c>
      <c r="E29" s="40">
        <f>Forudsætninger!M37</f>
        <v>40</v>
      </c>
      <c r="F29" s="45">
        <f>E29*Forudsætninger!V9</f>
        <v>-0.24</v>
      </c>
      <c r="G29" s="45"/>
      <c r="H29" s="45"/>
      <c r="I29" s="45"/>
      <c r="J29" s="45"/>
      <c r="K29" s="45"/>
      <c r="L29" s="45"/>
      <c r="M29" s="45"/>
      <c r="N29" s="45"/>
    </row>
    <row r="30" spans="1:21" x14ac:dyDescent="0.25">
      <c r="A30" s="45">
        <v>3</v>
      </c>
      <c r="B30" s="40" t="s">
        <v>514</v>
      </c>
      <c r="C30" s="364"/>
      <c r="D30" s="40"/>
      <c r="E30" s="40"/>
      <c r="F30" s="45"/>
      <c r="G30" s="45"/>
      <c r="H30" s="45"/>
      <c r="I30" s="45"/>
      <c r="J30" s="45"/>
      <c r="K30" s="45"/>
      <c r="L30" s="45"/>
      <c r="M30" s="45"/>
      <c r="N30" s="45"/>
    </row>
    <row r="31" spans="1:21" x14ac:dyDescent="0.25">
      <c r="A31" s="45"/>
      <c r="B31" s="40" t="s">
        <v>193</v>
      </c>
      <c r="C31" s="45"/>
      <c r="D31" s="45"/>
      <c r="E31" s="45"/>
      <c r="F31" s="45"/>
      <c r="G31" s="45"/>
      <c r="H31" s="45"/>
      <c r="I31" s="45"/>
      <c r="J31" s="45"/>
      <c r="K31" s="45"/>
      <c r="L31" s="45"/>
    </row>
    <row r="32" spans="1:21" x14ac:dyDescent="0.25">
      <c r="A32" s="45"/>
      <c r="B32" s="45"/>
      <c r="C32" s="45"/>
      <c r="D32" s="45"/>
      <c r="E32" s="45"/>
      <c r="F32" s="45"/>
      <c r="G32" s="45"/>
      <c r="H32" s="45"/>
      <c r="I32" s="45"/>
      <c r="J32" s="45"/>
      <c r="K32" s="45"/>
      <c r="L32" s="45"/>
      <c r="M32" s="45"/>
      <c r="N32" s="45"/>
    </row>
    <row r="33" spans="1:14" x14ac:dyDescent="0.25">
      <c r="A33" s="45">
        <v>1</v>
      </c>
      <c r="B33" s="40" t="s">
        <v>520</v>
      </c>
      <c r="C33" s="45" t="s">
        <v>526</v>
      </c>
      <c r="D33" s="45"/>
      <c r="E33" s="45"/>
      <c r="F33" s="45"/>
      <c r="G33" s="45"/>
      <c r="H33" s="45"/>
      <c r="I33" s="45"/>
      <c r="J33" s="45"/>
      <c r="K33" s="45"/>
      <c r="L33" s="45"/>
      <c r="M33" s="45"/>
      <c r="N33" s="45"/>
    </row>
    <row r="34" spans="1:14" x14ac:dyDescent="0.25">
      <c r="A34" s="45">
        <v>2</v>
      </c>
      <c r="B34" s="40" t="s">
        <v>521</v>
      </c>
      <c r="C34" s="45" t="s">
        <v>527</v>
      </c>
      <c r="D34" s="45"/>
      <c r="E34" s="45"/>
      <c r="F34" s="45"/>
      <c r="G34" s="45"/>
      <c r="H34" s="45"/>
      <c r="I34" s="45"/>
      <c r="J34" s="45"/>
      <c r="K34" s="45"/>
      <c r="L34" s="45"/>
      <c r="M34" s="45"/>
      <c r="N34" s="45"/>
    </row>
    <row r="35" spans="1:14" x14ac:dyDescent="0.25">
      <c r="A35" s="45"/>
      <c r="B35" s="45"/>
      <c r="C35" s="45"/>
      <c r="D35" s="45"/>
      <c r="E35" s="45"/>
      <c r="F35" s="45"/>
      <c r="G35" s="45"/>
      <c r="H35" s="45"/>
      <c r="I35" s="45"/>
      <c r="J35" s="45"/>
      <c r="K35" s="45"/>
      <c r="L35" s="45"/>
    </row>
    <row r="36" spans="1:14" x14ac:dyDescent="0.25">
      <c r="A36" s="40"/>
      <c r="B36" s="40" t="s">
        <v>213</v>
      </c>
      <c r="C36" s="40" t="s">
        <v>186</v>
      </c>
      <c r="D36" s="40" t="s">
        <v>225</v>
      </c>
      <c r="E36" s="40" t="s">
        <v>226</v>
      </c>
      <c r="F36" s="40" t="s">
        <v>227</v>
      </c>
      <c r="G36" s="40" t="s">
        <v>185</v>
      </c>
      <c r="H36" s="40" t="s">
        <v>25</v>
      </c>
      <c r="I36" s="40" t="s">
        <v>26</v>
      </c>
      <c r="J36" s="40" t="s">
        <v>332</v>
      </c>
      <c r="K36" s="40"/>
      <c r="L36" s="45"/>
    </row>
    <row r="37" spans="1:14" x14ac:dyDescent="0.25">
      <c r="A37" s="40">
        <v>1</v>
      </c>
      <c r="B37" s="40">
        <v>1</v>
      </c>
      <c r="C37" s="40">
        <v>2000</v>
      </c>
      <c r="D37" s="359">
        <v>210420</v>
      </c>
      <c r="E37" s="359">
        <v>106080</v>
      </c>
      <c r="F37" s="359">
        <v>128000</v>
      </c>
      <c r="G37" s="359">
        <f>25080+2500</f>
        <v>27580</v>
      </c>
      <c r="H37" s="358">
        <v>0.08</v>
      </c>
      <c r="I37" s="40">
        <v>10</v>
      </c>
      <c r="J37" s="359">
        <f>PMT(H37,I37,SUM(D37:G37))</f>
        <v>-70353.841024115362</v>
      </c>
      <c r="K37" s="359"/>
      <c r="L37" s="45"/>
    </row>
    <row r="38" spans="1:14" x14ac:dyDescent="0.25">
      <c r="A38" s="40">
        <v>2</v>
      </c>
      <c r="B38" s="40">
        <v>2</v>
      </c>
      <c r="C38" s="40">
        <v>3000</v>
      </c>
      <c r="D38" s="359">
        <v>270914</v>
      </c>
      <c r="E38" s="359">
        <v>148590</v>
      </c>
      <c r="F38" s="359">
        <v>148000</v>
      </c>
      <c r="G38" s="359">
        <f>31086+3500</f>
        <v>34586</v>
      </c>
      <c r="H38" s="358">
        <v>0.08</v>
      </c>
      <c r="I38" s="40">
        <v>10</v>
      </c>
      <c r="J38" s="359">
        <f t="shared" ref="J38:J40" si="17">PMT(H38,I38,SUM(D38:G38))</f>
        <v>-89729.164849622146</v>
      </c>
      <c r="K38" s="359"/>
      <c r="L38" s="45"/>
    </row>
    <row r="39" spans="1:14" x14ac:dyDescent="0.25">
      <c r="A39" s="40">
        <v>3</v>
      </c>
      <c r="B39" s="40">
        <v>3</v>
      </c>
      <c r="C39" s="40">
        <v>4000</v>
      </c>
      <c r="D39" s="359">
        <v>323900</v>
      </c>
      <c r="E39" s="359">
        <v>187460</v>
      </c>
      <c r="F39" s="359">
        <v>165000</v>
      </c>
      <c r="G39" s="359">
        <f>39600+4500</f>
        <v>44100</v>
      </c>
      <c r="H39" s="358">
        <v>0.08</v>
      </c>
      <c r="I39" s="40">
        <v>10</v>
      </c>
      <c r="J39" s="359">
        <f t="shared" si="17"/>
        <v>-107369.78542669496</v>
      </c>
      <c r="K39" s="359"/>
      <c r="L39" s="45"/>
    </row>
    <row r="40" spans="1:14" x14ac:dyDescent="0.25">
      <c r="A40" s="40">
        <v>4</v>
      </c>
      <c r="B40" s="40">
        <v>4</v>
      </c>
      <c r="C40" s="40">
        <v>5000</v>
      </c>
      <c r="D40" s="359">
        <v>415500</v>
      </c>
      <c r="E40" s="359">
        <v>202020</v>
      </c>
      <c r="F40" s="359">
        <v>175000</v>
      </c>
      <c r="G40" s="359">
        <f>42000+4500</f>
        <v>46500</v>
      </c>
      <c r="H40" s="358">
        <v>0.08</v>
      </c>
      <c r="I40" s="40">
        <v>10</v>
      </c>
      <c r="J40" s="359">
        <f t="shared" si="17"/>
        <v>-125038.72160662022</v>
      </c>
      <c r="K40" s="359"/>
      <c r="L40" s="45"/>
    </row>
    <row r="41" spans="1:14" x14ac:dyDescent="0.25">
      <c r="A41" s="40"/>
      <c r="B41" s="40"/>
      <c r="C41" s="40"/>
      <c r="D41" s="359"/>
      <c r="E41" s="359"/>
      <c r="F41" s="359"/>
      <c r="G41" s="359"/>
      <c r="H41" s="358"/>
      <c r="I41" s="40"/>
      <c r="J41" s="359"/>
      <c r="K41" s="359"/>
      <c r="L41" s="45"/>
    </row>
    <row r="42" spans="1:14" x14ac:dyDescent="0.25">
      <c r="A42" s="26"/>
      <c r="B42" s="45"/>
      <c r="C42" s="45" t="s">
        <v>624</v>
      </c>
      <c r="D42" s="45"/>
      <c r="E42" s="45"/>
      <c r="F42" s="45"/>
      <c r="G42" s="45"/>
      <c r="H42" s="45"/>
      <c r="I42" s="45"/>
      <c r="J42" s="45"/>
      <c r="K42" s="45"/>
      <c r="L42" s="45"/>
    </row>
    <row r="43" spans="1:14" x14ac:dyDescent="0.25">
      <c r="A43" s="40">
        <v>1</v>
      </c>
      <c r="B43" s="40" t="s">
        <v>3</v>
      </c>
      <c r="C43" s="40">
        <f>Forudsætninger!I29</f>
        <v>-675</v>
      </c>
      <c r="D43" s="40">
        <f>Forudsætninger!I30</f>
        <v>0.56000000000000005</v>
      </c>
      <c r="E43" s="40"/>
      <c r="F43" s="45"/>
      <c r="G43" s="45"/>
      <c r="H43" s="45"/>
      <c r="I43" s="45"/>
      <c r="J43" s="45"/>
      <c r="K43" s="45"/>
      <c r="L43" s="45"/>
    </row>
    <row r="44" spans="1:14" x14ac:dyDescent="0.25">
      <c r="A44" s="40">
        <v>2</v>
      </c>
      <c r="B44" s="40" t="s">
        <v>176</v>
      </c>
      <c r="C44" s="40">
        <f>Forudsætninger!I26</f>
        <v>-12</v>
      </c>
      <c r="D44" s="40">
        <f>Forudsætninger!I27</f>
        <v>0.1</v>
      </c>
      <c r="E44" s="40"/>
      <c r="F44" s="45"/>
      <c r="G44" s="45"/>
      <c r="H44" s="45"/>
      <c r="I44" s="45"/>
      <c r="J44" s="45"/>
      <c r="K44" s="45"/>
      <c r="L44" s="45"/>
    </row>
    <row r="45" spans="1:14" x14ac:dyDescent="0.25">
      <c r="A45" s="333"/>
      <c r="B45" s="26"/>
      <c r="C45" s="26"/>
      <c r="D45" s="45"/>
      <c r="E45" s="45"/>
      <c r="F45" s="45"/>
      <c r="G45" s="45"/>
      <c r="H45" s="45"/>
      <c r="I45" s="45"/>
      <c r="J45" s="45"/>
      <c r="K45" s="45"/>
      <c r="L45" s="45"/>
    </row>
    <row r="46" spans="1:14" x14ac:dyDescent="0.25">
      <c r="A46" s="26"/>
      <c r="B46" s="26"/>
      <c r="C46" s="86"/>
      <c r="D46" s="45"/>
      <c r="E46" s="45"/>
      <c r="F46" s="45"/>
      <c r="G46" s="45"/>
      <c r="H46" s="45"/>
      <c r="I46" s="45"/>
      <c r="J46" s="45"/>
      <c r="K46" s="45"/>
      <c r="L46" s="45"/>
    </row>
    <row r="47" spans="1:14" x14ac:dyDescent="0.25">
      <c r="A47" s="26"/>
      <c r="B47" s="26"/>
      <c r="C47" s="26"/>
      <c r="D47" s="45"/>
      <c r="E47" s="45"/>
      <c r="F47" s="45"/>
      <c r="G47" s="45"/>
      <c r="H47" s="45"/>
      <c r="I47" s="45"/>
      <c r="J47" s="45"/>
      <c r="K47" s="45"/>
      <c r="L47" s="45"/>
    </row>
    <row r="48" spans="1:14" x14ac:dyDescent="0.25">
      <c r="A48" s="335"/>
      <c r="B48" s="333"/>
      <c r="C48" s="333"/>
      <c r="D48" s="45"/>
      <c r="E48" s="45"/>
      <c r="F48" s="45"/>
      <c r="G48" s="45"/>
      <c r="H48" s="45"/>
      <c r="I48" s="45"/>
      <c r="J48" s="45"/>
      <c r="K48" s="45"/>
      <c r="L48" s="45"/>
    </row>
    <row r="49" spans="1:12" x14ac:dyDescent="0.25">
      <c r="A49" s="26"/>
      <c r="B49" s="334"/>
      <c r="C49" s="334"/>
      <c r="D49" s="45"/>
      <c r="E49" s="45"/>
      <c r="F49" s="45"/>
      <c r="G49" s="45"/>
      <c r="H49" s="45"/>
      <c r="I49" s="45"/>
      <c r="J49" s="45"/>
      <c r="K49" s="45"/>
      <c r="L49" s="45"/>
    </row>
    <row r="50" spans="1:12" x14ac:dyDescent="0.25">
      <c r="A50" s="26"/>
      <c r="B50" s="26"/>
      <c r="C50" s="26"/>
      <c r="D50" s="45"/>
      <c r="E50" s="45"/>
      <c r="F50" s="45"/>
      <c r="G50" s="45"/>
      <c r="H50" s="45"/>
      <c r="I50" s="45"/>
      <c r="J50" s="45"/>
      <c r="K50" s="45"/>
      <c r="L50" s="45"/>
    </row>
    <row r="51" spans="1:12" x14ac:dyDescent="0.25">
      <c r="A51" s="26"/>
      <c r="B51" s="26"/>
      <c r="C51" s="26"/>
      <c r="D51" s="45"/>
      <c r="E51" s="45"/>
      <c r="F51" s="45"/>
      <c r="G51" s="45"/>
      <c r="H51" s="45"/>
      <c r="I51" s="45"/>
      <c r="J51" s="45"/>
      <c r="K51" s="45"/>
      <c r="L51" s="45"/>
    </row>
    <row r="52" spans="1:12" x14ac:dyDescent="0.25">
      <c r="A52" s="26"/>
      <c r="B52" s="334"/>
      <c r="C52" s="26"/>
      <c r="D52" s="45"/>
      <c r="E52" s="45"/>
      <c r="F52" s="45"/>
      <c r="G52" s="45"/>
      <c r="H52" s="45"/>
      <c r="I52" s="45"/>
      <c r="J52" s="45"/>
      <c r="K52" s="45"/>
      <c r="L52" s="45"/>
    </row>
    <row r="53" spans="1:12" x14ac:dyDescent="0.25">
      <c r="A53" s="26"/>
      <c r="B53" s="26"/>
      <c r="C53" s="26"/>
      <c r="D53" s="45"/>
      <c r="E53" s="45"/>
      <c r="F53" s="45"/>
      <c r="G53" s="45"/>
      <c r="H53" s="45"/>
      <c r="I53" s="45"/>
      <c r="J53" s="45"/>
      <c r="K53" s="45"/>
      <c r="L53" s="45"/>
    </row>
    <row r="54" spans="1:12" x14ac:dyDescent="0.25">
      <c r="A54" s="26"/>
      <c r="B54" s="26"/>
      <c r="C54" s="26"/>
      <c r="D54" s="45"/>
      <c r="E54" s="45"/>
      <c r="F54" s="45"/>
      <c r="G54" s="45"/>
      <c r="H54" s="45"/>
      <c r="I54" s="45"/>
      <c r="J54" s="45"/>
      <c r="K54" s="45"/>
      <c r="L54" s="45"/>
    </row>
    <row r="55" spans="1:12" x14ac:dyDescent="0.25">
      <c r="A55" s="26"/>
      <c r="B55" s="336"/>
      <c r="C55" s="26"/>
      <c r="D55" s="45"/>
      <c r="E55" s="45"/>
      <c r="F55" s="45"/>
      <c r="G55" s="45"/>
      <c r="H55" s="45"/>
      <c r="I55" s="45"/>
      <c r="J55" s="45"/>
      <c r="K55" s="45"/>
      <c r="L55" s="45"/>
    </row>
    <row r="56" spans="1:12" x14ac:dyDescent="0.25">
      <c r="A56" s="26"/>
      <c r="B56" s="337"/>
      <c r="C56" s="26"/>
      <c r="D56" s="45"/>
      <c r="E56" s="45"/>
      <c r="F56" s="45"/>
      <c r="G56" s="45"/>
      <c r="H56" s="45"/>
      <c r="I56" s="45"/>
      <c r="J56" s="45"/>
      <c r="K56" s="45"/>
      <c r="L56" s="45"/>
    </row>
    <row r="57" spans="1:12" x14ac:dyDescent="0.25">
      <c r="A57" s="26"/>
      <c r="B57" s="337"/>
      <c r="C57" s="26"/>
      <c r="D57" s="338"/>
      <c r="E57" s="45"/>
      <c r="F57" s="45"/>
      <c r="G57" s="45"/>
      <c r="H57" s="45"/>
      <c r="I57" s="45"/>
      <c r="J57" s="45"/>
      <c r="K57" s="45"/>
      <c r="L57" s="45"/>
    </row>
    <row r="58" spans="1:12" x14ac:dyDescent="0.25">
      <c r="A58" s="83"/>
      <c r="B58" s="334"/>
      <c r="C58" s="26"/>
      <c r="D58" s="339"/>
      <c r="E58" s="45"/>
      <c r="F58" s="45"/>
      <c r="G58" s="45"/>
      <c r="H58" s="45"/>
      <c r="I58" s="45"/>
      <c r="J58" s="45"/>
      <c r="K58" s="45"/>
      <c r="L58" s="45"/>
    </row>
    <row r="59" spans="1:12" x14ac:dyDescent="0.25">
      <c r="A59" s="26"/>
      <c r="B59" s="26"/>
      <c r="C59" s="26"/>
      <c r="D59" s="45"/>
      <c r="E59" s="45"/>
      <c r="F59" s="45"/>
      <c r="G59" s="45"/>
      <c r="H59" s="45"/>
      <c r="I59" s="45"/>
      <c r="J59" s="45"/>
      <c r="K59" s="45"/>
      <c r="L59" s="45"/>
    </row>
    <row r="60" spans="1:12" x14ac:dyDescent="0.25">
      <c r="A60" s="26"/>
      <c r="B60" s="334"/>
      <c r="C60" s="26"/>
      <c r="D60" s="45"/>
      <c r="E60" s="45"/>
      <c r="F60" s="45"/>
      <c r="G60" s="45"/>
      <c r="H60" s="45"/>
      <c r="I60" s="45"/>
      <c r="J60" s="45"/>
      <c r="K60" s="45"/>
      <c r="L60" s="45"/>
    </row>
    <row r="61" spans="1:12" x14ac:dyDescent="0.25">
      <c r="A61" s="45"/>
      <c r="B61" s="340"/>
      <c r="C61" s="26"/>
      <c r="D61" s="45"/>
      <c r="E61" s="45"/>
      <c r="F61" s="45"/>
      <c r="G61" s="45"/>
      <c r="H61" s="45"/>
      <c r="I61" s="45"/>
      <c r="J61" s="45"/>
      <c r="K61" s="45"/>
      <c r="L61" s="45"/>
    </row>
    <row r="62" spans="1:12" x14ac:dyDescent="0.25">
      <c r="A62" s="45"/>
      <c r="B62" s="334"/>
      <c r="C62" s="26"/>
      <c r="D62" s="45"/>
      <c r="E62" s="45"/>
      <c r="F62" s="45"/>
      <c r="G62" s="45"/>
      <c r="H62" s="45"/>
      <c r="I62" s="45"/>
      <c r="J62" s="45"/>
      <c r="K62" s="45"/>
      <c r="L62" s="45"/>
    </row>
    <row r="63" spans="1:12" x14ac:dyDescent="0.25">
      <c r="A63" s="45"/>
      <c r="B63" s="26"/>
      <c r="C63" s="26"/>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B67" s="45"/>
      <c r="C67" s="45"/>
      <c r="D67" s="45"/>
      <c r="E67" s="45"/>
      <c r="F67" s="45"/>
      <c r="G67" s="45"/>
      <c r="H67" s="45"/>
      <c r="I67" s="45"/>
      <c r="J67" s="45"/>
      <c r="K67" s="45"/>
      <c r="L67" s="45"/>
    </row>
    <row r="68" spans="1:12" x14ac:dyDescent="0.25">
      <c r="B68" s="45"/>
      <c r="C68" s="45"/>
      <c r="D68" s="45"/>
      <c r="E68" s="45"/>
      <c r="F68" s="45"/>
      <c r="G68" s="45"/>
      <c r="H68" s="45"/>
      <c r="I68" s="45"/>
      <c r="J68" s="45"/>
      <c r="K68" s="45"/>
      <c r="L68" s="45"/>
    </row>
    <row r="69" spans="1:12" x14ac:dyDescent="0.25">
      <c r="B69" s="45"/>
      <c r="C69" s="45"/>
      <c r="D69" s="45"/>
      <c r="E69" s="45"/>
      <c r="F69" s="45"/>
      <c r="G69" s="45"/>
      <c r="H69" s="45"/>
      <c r="I69" s="45"/>
      <c r="J69" s="45"/>
      <c r="K69" s="45"/>
      <c r="L69" s="45"/>
    </row>
    <row r="70" spans="1:12" x14ac:dyDescent="0.25">
      <c r="L70" s="45"/>
    </row>
  </sheetData>
  <mergeCells count="1">
    <mergeCell ref="A1:M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0"/>
  <dimension ref="A2:V31"/>
  <sheetViews>
    <sheetView topLeftCell="A13" workbookViewId="0">
      <selection activeCell="D32" sqref="D32"/>
    </sheetView>
  </sheetViews>
  <sheetFormatPr defaultRowHeight="15" x14ac:dyDescent="0.25"/>
  <cols>
    <col min="1" max="1" width="15.42578125" customWidth="1"/>
    <col min="2" max="2" width="16.28515625" bestFit="1" customWidth="1"/>
    <col min="7" max="7" width="14.5703125" customWidth="1"/>
    <col min="11" max="11" width="15" customWidth="1"/>
  </cols>
  <sheetData>
    <row r="2" spans="1:22" ht="21" x14ac:dyDescent="0.35">
      <c r="A2" s="332" t="s">
        <v>256</v>
      </c>
    </row>
    <row r="3" spans="1:22" x14ac:dyDescent="0.25">
      <c r="A3" s="40" t="s">
        <v>501</v>
      </c>
      <c r="B3" s="40" t="s">
        <v>282</v>
      </c>
      <c r="C3" s="40" t="s">
        <v>149</v>
      </c>
      <c r="D3" s="40" t="s">
        <v>150</v>
      </c>
      <c r="E3" s="40" t="s">
        <v>151</v>
      </c>
      <c r="F3" s="40" t="s">
        <v>152</v>
      </c>
      <c r="G3" s="40" t="s">
        <v>56</v>
      </c>
      <c r="H3" s="40" t="s">
        <v>163</v>
      </c>
      <c r="I3" s="40" t="s">
        <v>259</v>
      </c>
      <c r="J3" s="40" t="s">
        <v>153</v>
      </c>
      <c r="K3" s="40" t="s">
        <v>56</v>
      </c>
      <c r="L3" s="40" t="s">
        <v>18</v>
      </c>
      <c r="M3" s="40" t="s">
        <v>19</v>
      </c>
      <c r="N3" s="40" t="s">
        <v>20</v>
      </c>
      <c r="O3" s="40" t="s">
        <v>21</v>
      </c>
      <c r="P3" s="40" t="s">
        <v>155</v>
      </c>
      <c r="Q3" s="40" t="s">
        <v>157</v>
      </c>
      <c r="R3" s="40" t="s">
        <v>158</v>
      </c>
      <c r="S3" s="40" t="s">
        <v>159</v>
      </c>
      <c r="T3" s="40" t="s">
        <v>160</v>
      </c>
    </row>
    <row r="4" spans="1:22" x14ac:dyDescent="0.25">
      <c r="A4">
        <v>1</v>
      </c>
      <c r="B4" t="s">
        <v>146</v>
      </c>
      <c r="C4">
        <v>2</v>
      </c>
      <c r="D4">
        <v>147</v>
      </c>
      <c r="E4">
        <v>36</v>
      </c>
      <c r="F4">
        <v>151</v>
      </c>
      <c r="H4">
        <v>1</v>
      </c>
      <c r="I4">
        <v>153</v>
      </c>
      <c r="J4">
        <v>1</v>
      </c>
      <c r="L4">
        <v>1</v>
      </c>
      <c r="M4">
        <v>1</v>
      </c>
      <c r="N4">
        <v>1</v>
      </c>
      <c r="O4">
        <v>1</v>
      </c>
      <c r="P4">
        <v>2</v>
      </c>
      <c r="T4">
        <v>1</v>
      </c>
    </row>
    <row r="5" spans="1:22" x14ac:dyDescent="0.25">
      <c r="A5">
        <v>2</v>
      </c>
      <c r="B5" t="s">
        <v>147</v>
      </c>
      <c r="C5">
        <v>2</v>
      </c>
      <c r="D5">
        <v>160</v>
      </c>
      <c r="E5">
        <v>39</v>
      </c>
      <c r="F5">
        <v>165</v>
      </c>
      <c r="H5">
        <v>1</v>
      </c>
      <c r="I5">
        <v>169</v>
      </c>
      <c r="J5">
        <v>1</v>
      </c>
      <c r="L5">
        <v>1</v>
      </c>
      <c r="M5">
        <v>1</v>
      </c>
      <c r="N5">
        <v>1</v>
      </c>
      <c r="O5">
        <v>1</v>
      </c>
      <c r="P5">
        <v>2</v>
      </c>
      <c r="Q5">
        <v>1</v>
      </c>
      <c r="R5">
        <v>2</v>
      </c>
      <c r="S5">
        <v>70</v>
      </c>
      <c r="T5">
        <v>1</v>
      </c>
    </row>
    <row r="6" spans="1:22" x14ac:dyDescent="0.25">
      <c r="A6">
        <v>3</v>
      </c>
      <c r="B6" t="s">
        <v>148</v>
      </c>
      <c r="C6">
        <v>2</v>
      </c>
      <c r="D6">
        <v>137</v>
      </c>
      <c r="E6">
        <v>39</v>
      </c>
      <c r="F6">
        <v>144</v>
      </c>
      <c r="H6">
        <v>1</v>
      </c>
      <c r="I6">
        <v>168</v>
      </c>
      <c r="J6">
        <v>1</v>
      </c>
      <c r="L6">
        <v>1</v>
      </c>
      <c r="M6">
        <v>1</v>
      </c>
      <c r="N6">
        <v>1</v>
      </c>
      <c r="O6">
        <v>1</v>
      </c>
      <c r="P6">
        <v>2</v>
      </c>
      <c r="T6">
        <v>1</v>
      </c>
    </row>
    <row r="7" spans="1:22" x14ac:dyDescent="0.25">
      <c r="A7">
        <v>1</v>
      </c>
      <c r="B7" t="s">
        <v>146</v>
      </c>
      <c r="C7">
        <v>2</v>
      </c>
      <c r="D7">
        <v>30</v>
      </c>
      <c r="E7">
        <v>15</v>
      </c>
      <c r="G7">
        <v>3200</v>
      </c>
      <c r="H7">
        <v>1</v>
      </c>
      <c r="I7">
        <v>153</v>
      </c>
      <c r="J7">
        <v>1</v>
      </c>
      <c r="K7">
        <v>32</v>
      </c>
      <c r="M7">
        <v>1</v>
      </c>
      <c r="N7">
        <v>1</v>
      </c>
      <c r="O7">
        <v>1</v>
      </c>
      <c r="P7">
        <v>2</v>
      </c>
      <c r="T7">
        <v>1</v>
      </c>
    </row>
    <row r="8" spans="1:22" x14ac:dyDescent="0.25">
      <c r="A8">
        <v>2</v>
      </c>
      <c r="B8" t="s">
        <v>147</v>
      </c>
      <c r="C8">
        <v>2</v>
      </c>
      <c r="D8">
        <v>30</v>
      </c>
      <c r="E8">
        <v>15</v>
      </c>
      <c r="G8">
        <v>3500</v>
      </c>
      <c r="H8">
        <v>1</v>
      </c>
      <c r="I8">
        <v>169</v>
      </c>
      <c r="J8">
        <v>1</v>
      </c>
      <c r="K8">
        <v>35</v>
      </c>
      <c r="M8">
        <v>1</v>
      </c>
      <c r="N8">
        <v>1</v>
      </c>
      <c r="O8">
        <v>1</v>
      </c>
      <c r="P8">
        <v>2</v>
      </c>
      <c r="Q8">
        <v>1</v>
      </c>
      <c r="R8">
        <v>2</v>
      </c>
      <c r="S8">
        <v>70</v>
      </c>
      <c r="T8">
        <v>1</v>
      </c>
    </row>
    <row r="9" spans="1:22" x14ac:dyDescent="0.25">
      <c r="A9">
        <v>3</v>
      </c>
      <c r="B9" t="s">
        <v>148</v>
      </c>
      <c r="C9">
        <v>2</v>
      </c>
      <c r="D9">
        <v>30</v>
      </c>
      <c r="E9">
        <v>15</v>
      </c>
      <c r="G9">
        <v>2900</v>
      </c>
      <c r="H9">
        <v>1</v>
      </c>
      <c r="I9">
        <v>168</v>
      </c>
      <c r="J9">
        <v>1</v>
      </c>
      <c r="K9">
        <v>29</v>
      </c>
      <c r="M9">
        <v>1</v>
      </c>
      <c r="N9">
        <v>1</v>
      </c>
      <c r="O9">
        <v>1</v>
      </c>
      <c r="P9">
        <v>2</v>
      </c>
      <c r="T9">
        <v>1</v>
      </c>
    </row>
    <row r="11" spans="1:22" x14ac:dyDescent="0.25">
      <c r="A11" t="s">
        <v>258</v>
      </c>
    </row>
    <row r="12" spans="1:22" x14ac:dyDescent="0.25">
      <c r="A12">
        <v>1</v>
      </c>
      <c r="B12" t="s">
        <v>146</v>
      </c>
      <c r="C12">
        <v>-800</v>
      </c>
      <c r="D12">
        <v>-8.5</v>
      </c>
      <c r="E12">
        <v>-12</v>
      </c>
      <c r="F12">
        <v>-6</v>
      </c>
      <c r="H12">
        <v>-590</v>
      </c>
      <c r="I12">
        <v>-2.2000000000000002</v>
      </c>
      <c r="J12">
        <v>-608</v>
      </c>
      <c r="L12">
        <v>-133</v>
      </c>
      <c r="M12">
        <v>-152</v>
      </c>
      <c r="N12">
        <v>-570</v>
      </c>
      <c r="O12">
        <v>-160</v>
      </c>
      <c r="P12">
        <v>-160</v>
      </c>
      <c r="T12">
        <v>-500</v>
      </c>
    </row>
    <row r="13" spans="1:22" x14ac:dyDescent="0.25">
      <c r="A13">
        <v>2</v>
      </c>
      <c r="B13" t="s">
        <v>147</v>
      </c>
      <c r="C13">
        <v>-800</v>
      </c>
      <c r="D13">
        <v>-8.5</v>
      </c>
      <c r="E13">
        <v>-12</v>
      </c>
      <c r="F13">
        <v>-6</v>
      </c>
      <c r="H13">
        <v>-590</v>
      </c>
      <c r="I13">
        <v>-2.2000000000000002</v>
      </c>
      <c r="J13">
        <v>-608</v>
      </c>
      <c r="L13">
        <v>-133</v>
      </c>
      <c r="M13">
        <v>-152</v>
      </c>
      <c r="N13">
        <v>-570</v>
      </c>
      <c r="O13">
        <v>-160</v>
      </c>
      <c r="P13">
        <v>-160</v>
      </c>
      <c r="Q13">
        <v>-1130</v>
      </c>
      <c r="R13">
        <v>-110</v>
      </c>
      <c r="S13">
        <v>-5</v>
      </c>
      <c r="T13">
        <v>-500</v>
      </c>
    </row>
    <row r="14" spans="1:22" x14ac:dyDescent="0.25">
      <c r="A14">
        <v>3</v>
      </c>
      <c r="B14" t="s">
        <v>148</v>
      </c>
      <c r="C14">
        <v>-800</v>
      </c>
      <c r="D14">
        <v>-8.5</v>
      </c>
      <c r="E14">
        <v>-12</v>
      </c>
      <c r="F14">
        <v>-6</v>
      </c>
      <c r="H14">
        <v>-590</v>
      </c>
      <c r="I14">
        <v>-2.2000000000000002</v>
      </c>
      <c r="J14">
        <v>-675</v>
      </c>
      <c r="L14">
        <v>-140</v>
      </c>
      <c r="M14">
        <v>-160</v>
      </c>
      <c r="N14">
        <v>-600</v>
      </c>
      <c r="O14">
        <v>-160</v>
      </c>
      <c r="P14">
        <v>-160</v>
      </c>
      <c r="T14">
        <v>-500</v>
      </c>
    </row>
    <row r="15" spans="1:22" x14ac:dyDescent="0.25">
      <c r="A15" t="s">
        <v>257</v>
      </c>
    </row>
    <row r="16" spans="1:22" x14ac:dyDescent="0.25">
      <c r="A16">
        <v>1</v>
      </c>
      <c r="B16" t="s">
        <v>146</v>
      </c>
      <c r="C16">
        <v>-800</v>
      </c>
      <c r="D16">
        <v>-8.5</v>
      </c>
      <c r="E16">
        <v>-12</v>
      </c>
      <c r="F16">
        <v>-6</v>
      </c>
      <c r="H16">
        <v>-590</v>
      </c>
      <c r="I16">
        <v>-2.2000000000000002</v>
      </c>
      <c r="J16">
        <v>-608</v>
      </c>
      <c r="K16">
        <v>-20</v>
      </c>
      <c r="M16">
        <v>-152</v>
      </c>
      <c r="N16">
        <v>-570</v>
      </c>
      <c r="O16">
        <v>-160</v>
      </c>
      <c r="P16">
        <v>-160</v>
      </c>
      <c r="T16">
        <v>-500</v>
      </c>
    </row>
    <row r="17" spans="1:20" x14ac:dyDescent="0.25">
      <c r="A17">
        <v>2</v>
      </c>
      <c r="B17" t="s">
        <v>147</v>
      </c>
      <c r="C17">
        <v>-800</v>
      </c>
      <c r="D17">
        <v>-8.5</v>
      </c>
      <c r="E17">
        <v>-12</v>
      </c>
      <c r="F17">
        <v>-6</v>
      </c>
      <c r="H17">
        <v>-590</v>
      </c>
      <c r="I17">
        <v>-2.2000000000000002</v>
      </c>
      <c r="J17">
        <v>-608</v>
      </c>
      <c r="K17">
        <v>-20</v>
      </c>
      <c r="M17">
        <v>-152</v>
      </c>
      <c r="N17">
        <v>-570</v>
      </c>
      <c r="O17">
        <v>-160</v>
      </c>
      <c r="P17">
        <v>-160</v>
      </c>
      <c r="Q17">
        <v>-1130</v>
      </c>
      <c r="R17">
        <v>-110</v>
      </c>
      <c r="S17">
        <v>-5</v>
      </c>
      <c r="T17">
        <v>-500</v>
      </c>
    </row>
    <row r="18" spans="1:20" x14ac:dyDescent="0.25">
      <c r="A18">
        <v>3</v>
      </c>
      <c r="B18" t="s">
        <v>148</v>
      </c>
      <c r="C18">
        <v>-800</v>
      </c>
      <c r="D18">
        <v>-8.5</v>
      </c>
      <c r="E18">
        <v>-12</v>
      </c>
      <c r="F18">
        <v>-6</v>
      </c>
      <c r="H18">
        <v>-590</v>
      </c>
      <c r="I18">
        <v>-2.2000000000000002</v>
      </c>
      <c r="J18">
        <v>-675</v>
      </c>
      <c r="K18">
        <v>-22</v>
      </c>
      <c r="M18">
        <v>-160</v>
      </c>
      <c r="N18">
        <v>-600</v>
      </c>
      <c r="O18">
        <v>-160</v>
      </c>
      <c r="P18">
        <v>-160</v>
      </c>
      <c r="T18">
        <v>-500</v>
      </c>
    </row>
    <row r="21" spans="1:20" x14ac:dyDescent="0.25">
      <c r="A21" s="323">
        <v>1</v>
      </c>
      <c r="B21" s="324" t="s">
        <v>146</v>
      </c>
      <c r="C21" s="324">
        <f t="shared" ref="C21:T21" si="0">C4*C12</f>
        <v>-1600</v>
      </c>
      <c r="D21" s="325">
        <f t="shared" si="0"/>
        <v>-1249.5</v>
      </c>
      <c r="E21" s="324">
        <f t="shared" si="0"/>
        <v>-432</v>
      </c>
      <c r="F21" s="324">
        <f t="shared" si="0"/>
        <v>-906</v>
      </c>
      <c r="G21" s="324">
        <f t="shared" si="0"/>
        <v>0</v>
      </c>
      <c r="H21" s="324">
        <f t="shared" si="0"/>
        <v>-590</v>
      </c>
      <c r="I21" s="325">
        <f t="shared" si="0"/>
        <v>-336.6</v>
      </c>
      <c r="J21" s="324">
        <f t="shared" si="0"/>
        <v>-608</v>
      </c>
      <c r="K21" s="324">
        <f t="shared" si="0"/>
        <v>0</v>
      </c>
      <c r="L21" s="324">
        <f t="shared" si="0"/>
        <v>-133</v>
      </c>
      <c r="M21" s="324">
        <f t="shared" si="0"/>
        <v>-152</v>
      </c>
      <c r="N21" s="324">
        <f t="shared" si="0"/>
        <v>-570</v>
      </c>
      <c r="O21" s="324">
        <f t="shared" si="0"/>
        <v>-160</v>
      </c>
      <c r="P21" s="324">
        <f t="shared" si="0"/>
        <v>-320</v>
      </c>
      <c r="Q21" s="324">
        <f t="shared" si="0"/>
        <v>0</v>
      </c>
      <c r="R21" s="324">
        <f t="shared" si="0"/>
        <v>0</v>
      </c>
      <c r="S21" s="324">
        <f t="shared" si="0"/>
        <v>0</v>
      </c>
      <c r="T21" s="326">
        <f t="shared" si="0"/>
        <v>-500</v>
      </c>
    </row>
    <row r="22" spans="1:20" x14ac:dyDescent="0.25">
      <c r="A22" s="327">
        <v>2</v>
      </c>
      <c r="B22" s="46" t="s">
        <v>147</v>
      </c>
      <c r="C22" s="46">
        <f t="shared" ref="C22:T22" si="1">C5*C13</f>
        <v>-1600</v>
      </c>
      <c r="D22" s="49">
        <f t="shared" si="1"/>
        <v>-1360</v>
      </c>
      <c r="E22" s="46">
        <f t="shared" si="1"/>
        <v>-468</v>
      </c>
      <c r="F22" s="46">
        <f t="shared" si="1"/>
        <v>-990</v>
      </c>
      <c r="G22" s="46">
        <f t="shared" si="1"/>
        <v>0</v>
      </c>
      <c r="H22" s="46">
        <f t="shared" si="1"/>
        <v>-590</v>
      </c>
      <c r="I22" s="49">
        <f t="shared" si="1"/>
        <v>-371.8</v>
      </c>
      <c r="J22" s="46">
        <f t="shared" si="1"/>
        <v>-608</v>
      </c>
      <c r="K22" s="46">
        <f t="shared" si="1"/>
        <v>0</v>
      </c>
      <c r="L22" s="46">
        <f t="shared" si="1"/>
        <v>-133</v>
      </c>
      <c r="M22" s="46">
        <f t="shared" si="1"/>
        <v>-152</v>
      </c>
      <c r="N22" s="46">
        <f t="shared" si="1"/>
        <v>-570</v>
      </c>
      <c r="O22" s="46">
        <f t="shared" si="1"/>
        <v>-160</v>
      </c>
      <c r="P22" s="46">
        <f t="shared" si="1"/>
        <v>-320</v>
      </c>
      <c r="Q22" s="46">
        <f t="shared" si="1"/>
        <v>-1130</v>
      </c>
      <c r="R22" s="46">
        <f t="shared" si="1"/>
        <v>-220</v>
      </c>
      <c r="S22" s="46">
        <f t="shared" si="1"/>
        <v>-350</v>
      </c>
      <c r="T22" s="328">
        <f t="shared" si="1"/>
        <v>-500</v>
      </c>
    </row>
    <row r="23" spans="1:20" x14ac:dyDescent="0.25">
      <c r="A23" s="327">
        <v>3</v>
      </c>
      <c r="B23" s="46" t="s">
        <v>261</v>
      </c>
      <c r="C23" s="46">
        <f t="shared" ref="C23:T23" si="2">C6*C14</f>
        <v>-1600</v>
      </c>
      <c r="D23" s="49">
        <f t="shared" si="2"/>
        <v>-1164.5</v>
      </c>
      <c r="E23" s="46">
        <f t="shared" si="2"/>
        <v>-468</v>
      </c>
      <c r="F23" s="46">
        <f t="shared" si="2"/>
        <v>-864</v>
      </c>
      <c r="G23" s="46">
        <f t="shared" si="2"/>
        <v>0</v>
      </c>
      <c r="H23" s="46">
        <f t="shared" si="2"/>
        <v>-590</v>
      </c>
      <c r="I23" s="49">
        <f t="shared" si="2"/>
        <v>-369.6</v>
      </c>
      <c r="J23" s="46">
        <f t="shared" si="2"/>
        <v>-675</v>
      </c>
      <c r="K23" s="46">
        <f t="shared" si="2"/>
        <v>0</v>
      </c>
      <c r="L23" s="46">
        <f t="shared" si="2"/>
        <v>-140</v>
      </c>
      <c r="M23" s="46">
        <f t="shared" si="2"/>
        <v>-160</v>
      </c>
      <c r="N23" s="46">
        <f t="shared" si="2"/>
        <v>-600</v>
      </c>
      <c r="O23" s="46">
        <f t="shared" si="2"/>
        <v>-160</v>
      </c>
      <c r="P23" s="46">
        <f t="shared" si="2"/>
        <v>-320</v>
      </c>
      <c r="Q23" s="46">
        <f t="shared" si="2"/>
        <v>0</v>
      </c>
      <c r="R23" s="46">
        <f t="shared" si="2"/>
        <v>0</v>
      </c>
      <c r="S23" s="46">
        <f t="shared" si="2"/>
        <v>0</v>
      </c>
      <c r="T23" s="328">
        <f t="shared" si="2"/>
        <v>-500</v>
      </c>
    </row>
    <row r="24" spans="1:20" x14ac:dyDescent="0.25">
      <c r="A24" s="327">
        <v>4</v>
      </c>
      <c r="B24" s="46" t="s">
        <v>262</v>
      </c>
      <c r="C24" s="46">
        <f t="shared" ref="C24:T24" si="3">C7*C16</f>
        <v>-1600</v>
      </c>
      <c r="D24" s="46">
        <f t="shared" si="3"/>
        <v>-255</v>
      </c>
      <c r="E24" s="46">
        <f t="shared" si="3"/>
        <v>-180</v>
      </c>
      <c r="F24" s="46">
        <f t="shared" si="3"/>
        <v>0</v>
      </c>
      <c r="G24" s="46">
        <f t="shared" si="3"/>
        <v>0</v>
      </c>
      <c r="H24" s="46">
        <f t="shared" si="3"/>
        <v>-590</v>
      </c>
      <c r="I24" s="49">
        <f t="shared" si="3"/>
        <v>-336.6</v>
      </c>
      <c r="J24" s="46">
        <f t="shared" si="3"/>
        <v>-608</v>
      </c>
      <c r="K24" s="46">
        <f t="shared" si="3"/>
        <v>-640</v>
      </c>
      <c r="L24" s="46">
        <f t="shared" si="3"/>
        <v>0</v>
      </c>
      <c r="M24" s="46">
        <f t="shared" si="3"/>
        <v>-152</v>
      </c>
      <c r="N24" s="46">
        <f t="shared" si="3"/>
        <v>-570</v>
      </c>
      <c r="O24" s="46">
        <f t="shared" si="3"/>
        <v>-160</v>
      </c>
      <c r="P24" s="46">
        <f t="shared" si="3"/>
        <v>-320</v>
      </c>
      <c r="Q24" s="46">
        <f t="shared" si="3"/>
        <v>0</v>
      </c>
      <c r="R24" s="46">
        <f t="shared" si="3"/>
        <v>0</v>
      </c>
      <c r="S24" s="46">
        <f t="shared" si="3"/>
        <v>0</v>
      </c>
      <c r="T24" s="328">
        <f t="shared" si="3"/>
        <v>-500</v>
      </c>
    </row>
    <row r="25" spans="1:20" x14ac:dyDescent="0.25">
      <c r="A25" s="327">
        <v>5</v>
      </c>
      <c r="B25" s="46" t="s">
        <v>263</v>
      </c>
      <c r="C25" s="46">
        <f t="shared" ref="C25:T25" si="4">C8*C17</f>
        <v>-1600</v>
      </c>
      <c r="D25" s="46">
        <f t="shared" si="4"/>
        <v>-255</v>
      </c>
      <c r="E25" s="46">
        <f t="shared" si="4"/>
        <v>-180</v>
      </c>
      <c r="F25" s="46">
        <f t="shared" si="4"/>
        <v>0</v>
      </c>
      <c r="G25" s="46">
        <f t="shared" si="4"/>
        <v>0</v>
      </c>
      <c r="H25" s="46">
        <f t="shared" si="4"/>
        <v>-590</v>
      </c>
      <c r="I25" s="49">
        <f t="shared" si="4"/>
        <v>-371.8</v>
      </c>
      <c r="J25" s="46">
        <f t="shared" si="4"/>
        <v>-608</v>
      </c>
      <c r="K25" s="46">
        <f t="shared" si="4"/>
        <v>-700</v>
      </c>
      <c r="L25" s="46">
        <f t="shared" si="4"/>
        <v>0</v>
      </c>
      <c r="M25" s="46">
        <f t="shared" si="4"/>
        <v>-152</v>
      </c>
      <c r="N25" s="46">
        <f t="shared" si="4"/>
        <v>-570</v>
      </c>
      <c r="O25" s="46">
        <f t="shared" si="4"/>
        <v>-160</v>
      </c>
      <c r="P25" s="46">
        <f t="shared" si="4"/>
        <v>-320</v>
      </c>
      <c r="Q25" s="46">
        <f t="shared" si="4"/>
        <v>-1130</v>
      </c>
      <c r="R25" s="46">
        <f t="shared" si="4"/>
        <v>-220</v>
      </c>
      <c r="S25" s="46">
        <f t="shared" si="4"/>
        <v>-350</v>
      </c>
      <c r="T25" s="328">
        <f t="shared" si="4"/>
        <v>-500</v>
      </c>
    </row>
    <row r="26" spans="1:20" x14ac:dyDescent="0.25">
      <c r="A26" s="329">
        <v>6</v>
      </c>
      <c r="B26" s="47" t="s">
        <v>260</v>
      </c>
      <c r="C26" s="47">
        <f t="shared" ref="C26:T26" si="5">C9*C18</f>
        <v>-1600</v>
      </c>
      <c r="D26" s="47">
        <f t="shared" si="5"/>
        <v>-255</v>
      </c>
      <c r="E26" s="47">
        <f t="shared" si="5"/>
        <v>-180</v>
      </c>
      <c r="F26" s="47">
        <f t="shared" si="5"/>
        <v>0</v>
      </c>
      <c r="G26" s="47">
        <f t="shared" si="5"/>
        <v>0</v>
      </c>
      <c r="H26" s="47">
        <f t="shared" si="5"/>
        <v>-590</v>
      </c>
      <c r="I26" s="330">
        <f t="shared" si="5"/>
        <v>-369.6</v>
      </c>
      <c r="J26" s="47">
        <f t="shared" si="5"/>
        <v>-675</v>
      </c>
      <c r="K26" s="47">
        <f t="shared" si="5"/>
        <v>-638</v>
      </c>
      <c r="L26" s="47">
        <f t="shared" si="5"/>
        <v>0</v>
      </c>
      <c r="M26" s="47">
        <f t="shared" si="5"/>
        <v>-160</v>
      </c>
      <c r="N26" s="47">
        <f t="shared" si="5"/>
        <v>-600</v>
      </c>
      <c r="O26" s="47">
        <f t="shared" si="5"/>
        <v>-160</v>
      </c>
      <c r="P26" s="47">
        <f t="shared" si="5"/>
        <v>-320</v>
      </c>
      <c r="Q26" s="47">
        <f t="shared" si="5"/>
        <v>0</v>
      </c>
      <c r="R26" s="47">
        <f t="shared" si="5"/>
        <v>0</v>
      </c>
      <c r="S26" s="47">
        <f t="shared" si="5"/>
        <v>0</v>
      </c>
      <c r="T26" s="331">
        <f t="shared" si="5"/>
        <v>-500</v>
      </c>
    </row>
    <row r="29" spans="1:20" x14ac:dyDescent="0.25">
      <c r="C29" t="s">
        <v>323</v>
      </c>
      <c r="D29" t="s">
        <v>540</v>
      </c>
      <c r="E29" t="s">
        <v>352</v>
      </c>
    </row>
    <row r="30" spans="1:20" x14ac:dyDescent="0.25">
      <c r="A30" s="323">
        <v>1</v>
      </c>
      <c r="B30" s="324" t="s">
        <v>539</v>
      </c>
      <c r="C30" s="324">
        <f>T_Tipvogn</f>
        <v>-625</v>
      </c>
      <c r="D30" s="326">
        <f>Forudsætninger!D14</f>
        <v>35</v>
      </c>
      <c r="E30" s="326">
        <f>Forudsætninger!V6</f>
        <v>25</v>
      </c>
    </row>
    <row r="31" spans="1:20" x14ac:dyDescent="0.25">
      <c r="A31" s="329">
        <v>2</v>
      </c>
      <c r="B31" s="47" t="s">
        <v>405</v>
      </c>
      <c r="C31" s="47">
        <f>Forudsætninger!D15</f>
        <v>-650</v>
      </c>
      <c r="D31" s="331">
        <f>Forudsætninger!D16</f>
        <v>48</v>
      </c>
      <c r="E31" s="331">
        <f>Forudsætninger!V7</f>
        <v>51.5</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U65"/>
  <sheetViews>
    <sheetView topLeftCell="A40" workbookViewId="0">
      <selection activeCell="D39" sqref="D39"/>
    </sheetView>
  </sheetViews>
  <sheetFormatPr defaultRowHeight="15" x14ac:dyDescent="0.25"/>
  <cols>
    <col min="1" max="1" width="34.140625" bestFit="1" customWidth="1"/>
    <col min="2" max="2" width="22.7109375" bestFit="1" customWidth="1"/>
    <col min="3" max="3" width="31" customWidth="1"/>
    <col min="4" max="4" width="30.140625" bestFit="1" customWidth="1"/>
    <col min="5" max="5" width="26.5703125" bestFit="1" customWidth="1"/>
    <col min="6" max="6" width="22.7109375" customWidth="1"/>
    <col min="7" max="7" width="14.42578125" bestFit="1" customWidth="1"/>
    <col min="8" max="8" width="18.140625" bestFit="1" customWidth="1"/>
    <col min="9" max="9" width="13.7109375" bestFit="1" customWidth="1"/>
    <col min="10" max="10" width="36.85546875" bestFit="1" customWidth="1"/>
    <col min="11" max="11" width="14.42578125" bestFit="1" customWidth="1"/>
    <col min="12" max="12" width="36.85546875" bestFit="1" customWidth="1"/>
    <col min="13" max="13" width="17" bestFit="1" customWidth="1"/>
    <col min="14" max="14" width="6.85546875" bestFit="1" customWidth="1"/>
    <col min="15" max="15" width="8.85546875" bestFit="1" customWidth="1"/>
    <col min="16" max="17" width="10.140625" bestFit="1" customWidth="1"/>
    <col min="18" max="18" width="8.28515625" bestFit="1" customWidth="1"/>
    <col min="19" max="19" width="16.28515625" bestFit="1" customWidth="1"/>
    <col min="20" max="20" width="14" bestFit="1" customWidth="1"/>
    <col min="21" max="21" width="14.5703125" bestFit="1" customWidth="1"/>
  </cols>
  <sheetData>
    <row r="1" spans="1:21" ht="21" x14ac:dyDescent="0.35">
      <c r="A1" s="417" t="s">
        <v>145</v>
      </c>
      <c r="B1" s="417"/>
      <c r="C1" s="417"/>
      <c r="D1" s="417"/>
      <c r="E1" s="417"/>
      <c r="F1" s="417"/>
      <c r="G1" s="417"/>
      <c r="H1" s="417"/>
      <c r="I1" s="417"/>
      <c r="J1" s="417"/>
      <c r="K1" s="417"/>
      <c r="L1" s="417"/>
      <c r="M1" s="417"/>
    </row>
    <row r="3" spans="1:21" x14ac:dyDescent="0.25">
      <c r="A3" s="45"/>
      <c r="B3" s="45"/>
      <c r="C3" s="45" t="s">
        <v>149</v>
      </c>
      <c r="D3" s="45" t="s">
        <v>150</v>
      </c>
      <c r="E3" s="45" t="s">
        <v>151</v>
      </c>
      <c r="F3" s="45" t="s">
        <v>152</v>
      </c>
      <c r="G3" s="45" t="s">
        <v>56</v>
      </c>
      <c r="H3" s="45" t="s">
        <v>163</v>
      </c>
      <c r="I3" s="45" t="s">
        <v>153</v>
      </c>
      <c r="J3" s="45" t="s">
        <v>154</v>
      </c>
      <c r="K3" s="45" t="s">
        <v>56</v>
      </c>
      <c r="L3" s="45" t="s">
        <v>18</v>
      </c>
      <c r="M3" s="45" t="s">
        <v>19</v>
      </c>
      <c r="N3" s="45" t="s">
        <v>20</v>
      </c>
      <c r="O3" s="45" t="s">
        <v>21</v>
      </c>
      <c r="P3" s="45" t="s">
        <v>155</v>
      </c>
      <c r="Q3" s="45" t="s">
        <v>156</v>
      </c>
      <c r="R3" s="45" t="s">
        <v>157</v>
      </c>
      <c r="S3" s="45" t="s">
        <v>158</v>
      </c>
      <c r="T3" s="45" t="s">
        <v>159</v>
      </c>
      <c r="U3" s="45" t="s">
        <v>160</v>
      </c>
    </row>
    <row r="4" spans="1:21" x14ac:dyDescent="0.25">
      <c r="A4" s="45">
        <v>1</v>
      </c>
      <c r="B4" s="45" t="s">
        <v>146</v>
      </c>
      <c r="C4" s="45">
        <v>1</v>
      </c>
      <c r="D4" s="45">
        <v>155</v>
      </c>
      <c r="E4" s="45">
        <v>23</v>
      </c>
      <c r="F4" s="45">
        <v>213</v>
      </c>
      <c r="G4" s="45">
        <v>0</v>
      </c>
      <c r="H4" s="45">
        <v>1</v>
      </c>
      <c r="I4" s="45">
        <v>1</v>
      </c>
      <c r="J4" s="45">
        <v>1</v>
      </c>
      <c r="K4" s="45">
        <v>0</v>
      </c>
      <c r="L4" s="45">
        <v>1</v>
      </c>
      <c r="M4" s="45">
        <v>2</v>
      </c>
      <c r="N4" s="45">
        <v>1</v>
      </c>
      <c r="O4" s="45">
        <v>1</v>
      </c>
      <c r="P4" s="45">
        <v>4</v>
      </c>
      <c r="Q4" s="45">
        <v>1</v>
      </c>
      <c r="R4" s="45">
        <v>0</v>
      </c>
      <c r="S4" s="45">
        <v>0</v>
      </c>
      <c r="T4" s="45">
        <v>0</v>
      </c>
      <c r="U4" s="45">
        <v>1</v>
      </c>
    </row>
    <row r="5" spans="1:21" x14ac:dyDescent="0.25">
      <c r="A5" s="45">
        <v>2</v>
      </c>
      <c r="B5" s="45" t="s">
        <v>147</v>
      </c>
      <c r="C5" s="45">
        <v>1</v>
      </c>
      <c r="D5" s="45">
        <v>181</v>
      </c>
      <c r="E5" s="45">
        <v>29</v>
      </c>
      <c r="F5" s="45">
        <v>280</v>
      </c>
      <c r="G5" s="45">
        <v>0</v>
      </c>
      <c r="H5" s="45">
        <v>1</v>
      </c>
      <c r="I5" s="45">
        <v>1</v>
      </c>
      <c r="J5" s="45">
        <v>1</v>
      </c>
      <c r="K5" s="45">
        <v>0</v>
      </c>
      <c r="L5" s="45">
        <v>1</v>
      </c>
      <c r="M5" s="45">
        <v>2</v>
      </c>
      <c r="N5" s="45">
        <v>1</v>
      </c>
      <c r="O5" s="45">
        <v>1</v>
      </c>
      <c r="P5" s="45">
        <v>4</v>
      </c>
      <c r="Q5" s="45">
        <v>1</v>
      </c>
      <c r="R5" s="45">
        <v>1</v>
      </c>
      <c r="S5" s="45">
        <v>2</v>
      </c>
      <c r="T5" s="45">
        <v>70</v>
      </c>
      <c r="U5" s="45">
        <v>1</v>
      </c>
    </row>
    <row r="6" spans="1:21" x14ac:dyDescent="0.25">
      <c r="A6" s="45">
        <v>3</v>
      </c>
      <c r="B6" s="45" t="s">
        <v>148</v>
      </c>
      <c r="C6" s="45">
        <v>1</v>
      </c>
      <c r="D6" s="45">
        <v>168</v>
      </c>
      <c r="E6" s="45">
        <v>30</v>
      </c>
      <c r="F6" s="45">
        <v>281</v>
      </c>
      <c r="G6" s="45">
        <v>0</v>
      </c>
      <c r="H6" s="45">
        <v>1</v>
      </c>
      <c r="I6" s="45">
        <v>1</v>
      </c>
      <c r="J6" s="45">
        <v>1</v>
      </c>
      <c r="K6" s="45">
        <v>0</v>
      </c>
      <c r="L6" s="45">
        <v>1</v>
      </c>
      <c r="M6" s="45">
        <v>2</v>
      </c>
      <c r="N6" s="45">
        <v>1</v>
      </c>
      <c r="O6" s="45">
        <v>1</v>
      </c>
      <c r="P6" s="45">
        <v>4</v>
      </c>
      <c r="Q6" s="45">
        <v>1</v>
      </c>
      <c r="R6" s="45">
        <v>0</v>
      </c>
      <c r="S6" s="45">
        <v>0</v>
      </c>
      <c r="T6" s="45">
        <v>0</v>
      </c>
      <c r="U6" s="45">
        <v>1</v>
      </c>
    </row>
    <row r="7" spans="1:21" x14ac:dyDescent="0.25">
      <c r="A7" s="45"/>
      <c r="B7" s="45"/>
      <c r="C7" s="45"/>
      <c r="D7" s="45"/>
      <c r="E7" s="45"/>
      <c r="F7" s="45"/>
      <c r="G7" s="45"/>
      <c r="H7" s="45"/>
      <c r="I7" s="45"/>
      <c r="J7" s="45"/>
      <c r="K7" s="45"/>
      <c r="L7" s="45"/>
      <c r="M7" s="45"/>
      <c r="N7" s="45"/>
      <c r="O7" s="45"/>
      <c r="P7" s="45"/>
      <c r="Q7" s="45"/>
      <c r="R7" s="45"/>
      <c r="S7" s="45"/>
      <c r="T7" s="45"/>
      <c r="U7" s="45"/>
    </row>
    <row r="8" spans="1:21" x14ac:dyDescent="0.25">
      <c r="A8" s="45">
        <v>1</v>
      </c>
      <c r="B8" s="45" t="s">
        <v>146</v>
      </c>
      <c r="C8" s="45">
        <v>1</v>
      </c>
      <c r="D8" s="45">
        <v>7</v>
      </c>
      <c r="E8" s="45">
        <v>0</v>
      </c>
      <c r="F8" s="45">
        <v>0</v>
      </c>
      <c r="G8" s="45">
        <v>40</v>
      </c>
      <c r="H8" s="45">
        <v>1</v>
      </c>
      <c r="I8" s="45">
        <v>1</v>
      </c>
      <c r="J8" s="45">
        <v>1</v>
      </c>
      <c r="K8" s="45">
        <v>40</v>
      </c>
      <c r="L8" s="45">
        <v>1</v>
      </c>
      <c r="M8" s="45">
        <v>2</v>
      </c>
      <c r="N8" s="45">
        <v>1</v>
      </c>
      <c r="O8" s="45">
        <v>1</v>
      </c>
      <c r="P8" s="45">
        <v>4</v>
      </c>
      <c r="Q8" s="45">
        <v>1</v>
      </c>
      <c r="R8" s="45">
        <v>0</v>
      </c>
      <c r="S8" s="45">
        <v>0</v>
      </c>
      <c r="T8" s="45">
        <v>0</v>
      </c>
      <c r="U8" s="45">
        <v>1</v>
      </c>
    </row>
    <row r="9" spans="1:21" x14ac:dyDescent="0.25">
      <c r="A9" s="45">
        <v>2</v>
      </c>
      <c r="B9" s="45" t="s">
        <v>147</v>
      </c>
      <c r="C9" s="45">
        <v>1</v>
      </c>
      <c r="D9" s="45">
        <v>33</v>
      </c>
      <c r="E9" s="45">
        <v>0</v>
      </c>
      <c r="F9" s="45">
        <v>0</v>
      </c>
      <c r="G9" s="45">
        <v>40</v>
      </c>
      <c r="H9" s="45">
        <v>1</v>
      </c>
      <c r="I9" s="45">
        <v>1</v>
      </c>
      <c r="J9" s="45">
        <v>1</v>
      </c>
      <c r="K9" s="45">
        <v>40</v>
      </c>
      <c r="L9" s="45">
        <v>1</v>
      </c>
      <c r="M9" s="45">
        <v>2</v>
      </c>
      <c r="N9" s="45">
        <v>1</v>
      </c>
      <c r="O9" s="45">
        <v>1</v>
      </c>
      <c r="P9" s="45">
        <v>4</v>
      </c>
      <c r="Q9" s="45">
        <v>1</v>
      </c>
      <c r="R9" s="45">
        <v>1</v>
      </c>
      <c r="S9" s="45">
        <v>2</v>
      </c>
      <c r="T9" s="45">
        <v>70</v>
      </c>
      <c r="U9" s="45">
        <v>1</v>
      </c>
    </row>
    <row r="10" spans="1:21" x14ac:dyDescent="0.25">
      <c r="A10" s="45">
        <v>3</v>
      </c>
      <c r="B10" s="45" t="s">
        <v>148</v>
      </c>
      <c r="C10" s="45">
        <v>1</v>
      </c>
      <c r="D10" s="45">
        <v>20</v>
      </c>
      <c r="E10" s="45">
        <v>0</v>
      </c>
      <c r="F10" s="45">
        <v>0</v>
      </c>
      <c r="G10" s="45">
        <v>40</v>
      </c>
      <c r="H10" s="45">
        <v>1</v>
      </c>
      <c r="I10" s="45">
        <v>1</v>
      </c>
      <c r="J10" s="45">
        <v>1</v>
      </c>
      <c r="K10" s="45">
        <v>40</v>
      </c>
      <c r="L10" s="45">
        <v>1</v>
      </c>
      <c r="M10" s="45">
        <v>2</v>
      </c>
      <c r="N10" s="45">
        <v>1</v>
      </c>
      <c r="O10" s="45">
        <v>1</v>
      </c>
      <c r="P10" s="45">
        <v>4</v>
      </c>
      <c r="Q10" s="45">
        <v>1</v>
      </c>
      <c r="R10" s="45">
        <v>0</v>
      </c>
      <c r="S10" s="45">
        <v>0</v>
      </c>
      <c r="T10" s="45">
        <v>0</v>
      </c>
      <c r="U10" s="45">
        <v>1</v>
      </c>
    </row>
    <row r="12" spans="1:21" x14ac:dyDescent="0.25">
      <c r="A12" s="40" t="s">
        <v>162</v>
      </c>
      <c r="B12" s="40"/>
      <c r="C12" s="40"/>
      <c r="D12" s="40"/>
      <c r="E12" s="40"/>
      <c r="F12" s="40"/>
      <c r="G12" s="40"/>
      <c r="H12" s="40"/>
      <c r="I12" s="40"/>
      <c r="J12" s="40"/>
      <c r="K12" s="40"/>
      <c r="L12" s="40"/>
      <c r="M12" s="40"/>
      <c r="N12" s="40"/>
      <c r="O12" s="40"/>
      <c r="P12" s="40"/>
      <c r="Q12" s="40"/>
      <c r="R12" s="40"/>
      <c r="S12" s="40"/>
      <c r="T12" s="40"/>
      <c r="U12" s="40"/>
    </row>
    <row r="13" spans="1:21" x14ac:dyDescent="0.25">
      <c r="A13" s="40">
        <v>1</v>
      </c>
      <c r="B13" s="40" t="s">
        <v>146</v>
      </c>
      <c r="C13" s="40">
        <v>-1400</v>
      </c>
      <c r="D13" s="40">
        <v>-8</v>
      </c>
      <c r="E13" s="40">
        <v>-12</v>
      </c>
      <c r="F13" s="40">
        <v>-6</v>
      </c>
      <c r="G13" s="40">
        <v>0</v>
      </c>
      <c r="H13" s="40">
        <v>-1540</v>
      </c>
      <c r="I13" s="40">
        <v>-650</v>
      </c>
      <c r="J13" s="40">
        <v>-200</v>
      </c>
      <c r="K13" s="40">
        <v>0</v>
      </c>
      <c r="L13" s="40">
        <v>-133</v>
      </c>
      <c r="M13" s="40">
        <v>-152</v>
      </c>
      <c r="N13" s="40">
        <v>-475</v>
      </c>
      <c r="O13" s="40">
        <v>-160</v>
      </c>
      <c r="P13" s="40">
        <v>-200</v>
      </c>
      <c r="Q13" s="40">
        <v>-1497</v>
      </c>
      <c r="R13" s="40">
        <v>0</v>
      </c>
      <c r="S13" s="40">
        <v>0</v>
      </c>
      <c r="T13" s="40">
        <v>0</v>
      </c>
      <c r="U13" s="40">
        <v>-500</v>
      </c>
    </row>
    <row r="14" spans="1:21" x14ac:dyDescent="0.25">
      <c r="A14" s="40">
        <v>2</v>
      </c>
      <c r="B14" s="40" t="s">
        <v>147</v>
      </c>
      <c r="C14" s="40">
        <v>-1400</v>
      </c>
      <c r="D14" s="40">
        <v>-8</v>
      </c>
      <c r="E14" s="40">
        <v>-12</v>
      </c>
      <c r="F14" s="40">
        <v>-6</v>
      </c>
      <c r="G14" s="40">
        <v>0</v>
      </c>
      <c r="H14" s="40">
        <v>-1540</v>
      </c>
      <c r="I14" s="40">
        <v>-650</v>
      </c>
      <c r="J14" s="40">
        <v>-200</v>
      </c>
      <c r="K14" s="40">
        <v>0</v>
      </c>
      <c r="L14" s="40">
        <v>-133</v>
      </c>
      <c r="M14" s="40">
        <v>-152</v>
      </c>
      <c r="N14" s="40">
        <v>-475</v>
      </c>
      <c r="O14" s="40">
        <v>-160</v>
      </c>
      <c r="P14" s="40">
        <v>-200</v>
      </c>
      <c r="Q14" s="40">
        <v>-1722</v>
      </c>
      <c r="R14" s="40">
        <v>-1130</v>
      </c>
      <c r="S14" s="40">
        <v>-110</v>
      </c>
      <c r="T14" s="40">
        <v>-70</v>
      </c>
      <c r="U14" s="40">
        <v>-500</v>
      </c>
    </row>
    <row r="15" spans="1:21" x14ac:dyDescent="0.25">
      <c r="A15" s="40">
        <v>3</v>
      </c>
      <c r="B15" s="40" t="s">
        <v>148</v>
      </c>
      <c r="C15" s="40">
        <v>-1400</v>
      </c>
      <c r="D15" s="40">
        <v>-8</v>
      </c>
      <c r="E15" s="40">
        <v>-12</v>
      </c>
      <c r="F15" s="40">
        <v>-6</v>
      </c>
      <c r="G15" s="40">
        <v>0</v>
      </c>
      <c r="H15" s="40">
        <v>-1540</v>
      </c>
      <c r="I15" s="40">
        <v>-650</v>
      </c>
      <c r="J15" s="40">
        <v>-200</v>
      </c>
      <c r="K15" s="40">
        <v>0</v>
      </c>
      <c r="L15" s="40">
        <v>-140</v>
      </c>
      <c r="M15" s="40">
        <v>-160</v>
      </c>
      <c r="N15" s="40">
        <v>-500</v>
      </c>
      <c r="O15" s="40">
        <v>-160</v>
      </c>
      <c r="P15" s="40">
        <v>-200</v>
      </c>
      <c r="Q15" s="40">
        <v>-1794</v>
      </c>
      <c r="R15" s="40">
        <v>0</v>
      </c>
      <c r="S15" s="40">
        <v>0</v>
      </c>
      <c r="T15" s="40">
        <v>0</v>
      </c>
      <c r="U15" s="40">
        <v>-500</v>
      </c>
    </row>
    <row r="17" spans="1:21" x14ac:dyDescent="0.25">
      <c r="A17" s="40" t="s">
        <v>161</v>
      </c>
      <c r="B17" s="40"/>
      <c r="C17" s="40"/>
      <c r="D17" s="40"/>
      <c r="E17" s="40"/>
      <c r="F17" s="40"/>
      <c r="G17" s="40"/>
      <c r="H17" s="40"/>
      <c r="I17" s="40"/>
      <c r="J17" s="40"/>
      <c r="K17" s="40"/>
      <c r="L17" s="40"/>
      <c r="M17" s="40"/>
      <c r="N17" s="40"/>
      <c r="O17" s="40"/>
      <c r="P17" s="40"/>
      <c r="Q17" s="40"/>
      <c r="R17" s="40"/>
      <c r="S17" s="40"/>
      <c r="T17" s="40"/>
      <c r="U17" s="40"/>
    </row>
    <row r="18" spans="1:21" x14ac:dyDescent="0.25">
      <c r="A18" s="40">
        <v>1</v>
      </c>
      <c r="B18" s="40" t="s">
        <v>262</v>
      </c>
      <c r="C18" s="40">
        <v>-1400</v>
      </c>
      <c r="D18" s="40">
        <v>-8</v>
      </c>
      <c r="E18" s="40" t="s">
        <v>129</v>
      </c>
      <c r="F18" s="40" t="s">
        <v>129</v>
      </c>
      <c r="G18" s="40">
        <v>0</v>
      </c>
      <c r="H18" s="40">
        <v>-1540</v>
      </c>
      <c r="I18" s="40">
        <v>-650</v>
      </c>
      <c r="J18" s="40">
        <v>-200</v>
      </c>
      <c r="K18" s="40">
        <v>-20</v>
      </c>
      <c r="L18" s="40">
        <v>-133</v>
      </c>
      <c r="M18" s="40">
        <v>-152</v>
      </c>
      <c r="N18" s="40">
        <v>-475</v>
      </c>
      <c r="O18" s="40">
        <v>-160</v>
      </c>
      <c r="P18" s="40">
        <v>-200</v>
      </c>
      <c r="Q18" s="40">
        <v>-1497</v>
      </c>
      <c r="R18" s="40">
        <v>0</v>
      </c>
      <c r="S18" s="40">
        <v>0</v>
      </c>
      <c r="T18" s="40">
        <v>0</v>
      </c>
      <c r="U18" s="40">
        <v>-500</v>
      </c>
    </row>
    <row r="19" spans="1:21" x14ac:dyDescent="0.25">
      <c r="A19" s="40">
        <v>2</v>
      </c>
      <c r="B19" s="40" t="s">
        <v>503</v>
      </c>
      <c r="C19" s="40">
        <v>-1400</v>
      </c>
      <c r="D19" s="40">
        <v>-8</v>
      </c>
      <c r="E19" s="40" t="s">
        <v>129</v>
      </c>
      <c r="F19" s="40" t="s">
        <v>129</v>
      </c>
      <c r="G19" s="40">
        <v>0</v>
      </c>
      <c r="H19" s="40">
        <v>-1540</v>
      </c>
      <c r="I19" s="40">
        <v>-650</v>
      </c>
      <c r="J19" s="40">
        <v>-200</v>
      </c>
      <c r="K19" s="40">
        <v>-20</v>
      </c>
      <c r="L19" s="40">
        <v>-133</v>
      </c>
      <c r="M19" s="40">
        <v>-152</v>
      </c>
      <c r="N19" s="40">
        <v>-475</v>
      </c>
      <c r="O19" s="40">
        <v>-160</v>
      </c>
      <c r="P19" s="40">
        <v>-200</v>
      </c>
      <c r="Q19" s="40">
        <v>-1722</v>
      </c>
      <c r="R19" s="40">
        <v>-1130</v>
      </c>
      <c r="S19" s="40">
        <v>-110</v>
      </c>
      <c r="T19" s="40">
        <v>-70</v>
      </c>
      <c r="U19" s="40">
        <v>-500</v>
      </c>
    </row>
    <row r="20" spans="1:21" x14ac:dyDescent="0.25">
      <c r="A20" s="40">
        <v>3</v>
      </c>
      <c r="B20" s="40" t="s">
        <v>502</v>
      </c>
      <c r="C20" s="40">
        <v>-1400</v>
      </c>
      <c r="D20" s="40">
        <v>-8</v>
      </c>
      <c r="E20" s="40" t="s">
        <v>129</v>
      </c>
      <c r="F20" s="40" t="s">
        <v>129</v>
      </c>
      <c r="G20" s="40">
        <v>0</v>
      </c>
      <c r="H20" s="40">
        <v>-1540</v>
      </c>
      <c r="I20" s="40">
        <v>-650</v>
      </c>
      <c r="J20" s="40">
        <v>-200</v>
      </c>
      <c r="K20" s="40">
        <v>-20</v>
      </c>
      <c r="L20" s="40">
        <v>-140</v>
      </c>
      <c r="M20" s="40">
        <v>-160</v>
      </c>
      <c r="N20" s="40">
        <v>-500</v>
      </c>
      <c r="O20" s="40">
        <v>-160</v>
      </c>
      <c r="P20" s="40">
        <v>-200</v>
      </c>
      <c r="Q20" s="40">
        <v>-1700</v>
      </c>
      <c r="R20" s="40">
        <v>0</v>
      </c>
      <c r="S20" s="40">
        <v>0</v>
      </c>
      <c r="T20" s="40">
        <v>0</v>
      </c>
      <c r="U20" s="40">
        <v>-500</v>
      </c>
    </row>
    <row r="23" spans="1:21" x14ac:dyDescent="0.25">
      <c r="A23" s="40">
        <v>1</v>
      </c>
      <c r="B23" s="40" t="s">
        <v>172</v>
      </c>
      <c r="C23" s="40" t="s">
        <v>175</v>
      </c>
      <c r="D23" s="40" t="s">
        <v>24</v>
      </c>
      <c r="E23" s="40" t="s">
        <v>59</v>
      </c>
      <c r="F23" s="40" t="s">
        <v>174</v>
      </c>
      <c r="G23" s="40" t="s">
        <v>58</v>
      </c>
      <c r="H23" s="40" t="s">
        <v>25</v>
      </c>
      <c r="I23" s="40" t="s">
        <v>26</v>
      </c>
      <c r="J23" s="40" t="s">
        <v>44</v>
      </c>
      <c r="K23" s="40" t="s">
        <v>190</v>
      </c>
    </row>
    <row r="24" spans="1:21" x14ac:dyDescent="0.25">
      <c r="A24" s="40">
        <v>2</v>
      </c>
      <c r="B24" s="40" t="s">
        <v>173</v>
      </c>
      <c r="C24" s="40" t="s">
        <v>232</v>
      </c>
      <c r="D24" s="40" t="s">
        <v>233</v>
      </c>
      <c r="E24" s="40" t="s">
        <v>234</v>
      </c>
      <c r="F24" s="41" t="s">
        <v>212</v>
      </c>
      <c r="G24" s="41" t="s">
        <v>25</v>
      </c>
      <c r="H24" s="40" t="s">
        <v>26</v>
      </c>
      <c r="I24" s="40" t="s">
        <v>44</v>
      </c>
      <c r="J24" s="40" t="s">
        <v>44</v>
      </c>
      <c r="K24" s="40" t="s">
        <v>191</v>
      </c>
    </row>
    <row r="25" spans="1:21" ht="28.5" customHeight="1" x14ac:dyDescent="0.25">
      <c r="A25" s="45"/>
      <c r="B25" s="45"/>
      <c r="C25" s="45"/>
      <c r="D25" s="45"/>
      <c r="E25" s="45"/>
      <c r="F25" s="45"/>
      <c r="G25" s="45"/>
      <c r="H25" s="45"/>
      <c r="I25" s="45"/>
      <c r="J25" s="45"/>
    </row>
    <row r="27" spans="1:21" x14ac:dyDescent="0.25">
      <c r="A27" s="40">
        <v>1</v>
      </c>
      <c r="B27" s="40" t="s">
        <v>172</v>
      </c>
      <c r="C27" s="40">
        <v>2300</v>
      </c>
      <c r="D27" s="40">
        <v>500</v>
      </c>
      <c r="E27" s="40">
        <v>3</v>
      </c>
      <c r="F27" s="40">
        <v>50</v>
      </c>
      <c r="G27" s="40">
        <v>16</v>
      </c>
      <c r="H27" s="42">
        <v>0.08</v>
      </c>
      <c r="I27" s="40">
        <v>10</v>
      </c>
      <c r="J27" s="42">
        <v>0.08</v>
      </c>
    </row>
    <row r="28" spans="1:21" x14ac:dyDescent="0.25">
      <c r="A28" s="40">
        <v>2</v>
      </c>
      <c r="B28" s="40" t="s">
        <v>173</v>
      </c>
      <c r="C28" s="40"/>
      <c r="D28" s="40"/>
      <c r="E28" s="40"/>
      <c r="F28" s="40"/>
      <c r="G28" s="40"/>
      <c r="H28" s="42"/>
      <c r="I28" s="40"/>
      <c r="J28" s="42"/>
    </row>
    <row r="29" spans="1:21" x14ac:dyDescent="0.25">
      <c r="A29" s="45"/>
      <c r="B29" s="45"/>
      <c r="C29" s="45"/>
      <c r="D29" s="45"/>
      <c r="E29" s="45"/>
      <c r="F29" s="45"/>
      <c r="G29" s="45"/>
      <c r="H29" s="56"/>
      <c r="I29" s="45"/>
      <c r="J29" s="56"/>
    </row>
    <row r="31" spans="1:21" x14ac:dyDescent="0.25">
      <c r="A31" s="40">
        <v>1</v>
      </c>
      <c r="B31" s="40" t="s">
        <v>3</v>
      </c>
      <c r="C31" s="40" t="s">
        <v>134</v>
      </c>
      <c r="D31" s="40" t="e">
        <f>Forudsætninger!#REF!</f>
        <v>#REF!</v>
      </c>
      <c r="E31" s="40" t="e">
        <f>Forudsætninger!#REF!</f>
        <v>#REF!</v>
      </c>
    </row>
    <row r="32" spans="1:21" x14ac:dyDescent="0.25">
      <c r="A32" s="40">
        <v>2</v>
      </c>
      <c r="B32" s="40" t="s">
        <v>176</v>
      </c>
      <c r="C32" s="40" t="s">
        <v>177</v>
      </c>
      <c r="D32" s="40" t="e">
        <f>Forudsætninger!#REF!</f>
        <v>#REF!</v>
      </c>
      <c r="E32" s="40" t="e">
        <f>Forudsætninger!#REF!</f>
        <v>#REF!</v>
      </c>
    </row>
    <row r="34" spans="1:14" x14ac:dyDescent="0.25">
      <c r="A34" s="40">
        <v>1</v>
      </c>
      <c r="B34" s="40" t="s">
        <v>180</v>
      </c>
      <c r="C34" s="40" t="s">
        <v>181</v>
      </c>
      <c r="D34" s="40">
        <f>Forudsætninger!M32</f>
        <v>-1120</v>
      </c>
      <c r="E34" s="40" t="s">
        <v>170</v>
      </c>
      <c r="F34" s="40" t="s">
        <v>198</v>
      </c>
      <c r="G34" s="40">
        <f>Forudsætninger!M33</f>
        <v>70</v>
      </c>
      <c r="H34" s="40" t="s">
        <v>199</v>
      </c>
      <c r="I34" s="40">
        <f>Forudsætninger!M34</f>
        <v>50</v>
      </c>
      <c r="J34" s="40" t="s">
        <v>129</v>
      </c>
      <c r="K34" s="40">
        <v>0</v>
      </c>
      <c r="L34" s="40" t="s">
        <v>201</v>
      </c>
      <c r="M34" s="40" t="s">
        <v>202</v>
      </c>
      <c r="N34" s="40">
        <f>Forudsætninger!C17</f>
        <v>-500</v>
      </c>
    </row>
    <row r="35" spans="1:14" x14ac:dyDescent="0.25">
      <c r="A35" s="40">
        <v>2</v>
      </c>
      <c r="B35" s="40" t="s">
        <v>192</v>
      </c>
      <c r="C35" s="40" t="s">
        <v>182</v>
      </c>
      <c r="D35" s="40">
        <f>Forudsætninger!M35</f>
        <v>-1120</v>
      </c>
      <c r="E35" s="40" t="s">
        <v>195</v>
      </c>
      <c r="F35" s="40" t="s">
        <v>198</v>
      </c>
      <c r="G35" s="40">
        <f>Forudsætninger!M36</f>
        <v>50</v>
      </c>
      <c r="H35" s="40" t="s">
        <v>199</v>
      </c>
      <c r="I35" s="40">
        <f>Forudsætninger!M37</f>
        <v>40</v>
      </c>
      <c r="J35" s="40" t="s">
        <v>200</v>
      </c>
      <c r="K35" s="40">
        <v>-750</v>
      </c>
      <c r="L35" s="40" t="s">
        <v>129</v>
      </c>
      <c r="M35" s="40" t="s">
        <v>129</v>
      </c>
      <c r="N35" s="40">
        <v>0</v>
      </c>
    </row>
    <row r="36" spans="1:14" x14ac:dyDescent="0.25">
      <c r="A36" s="40">
        <v>3</v>
      </c>
      <c r="B36" s="40" t="s">
        <v>193</v>
      </c>
      <c r="C36" s="40" t="s">
        <v>194</v>
      </c>
      <c r="D36" s="40"/>
      <c r="E36" s="40" t="s">
        <v>196</v>
      </c>
      <c r="F36" s="40" t="s">
        <v>198</v>
      </c>
      <c r="G36" s="40"/>
      <c r="H36" s="40"/>
      <c r="I36" s="40"/>
      <c r="J36" s="40" t="s">
        <v>129</v>
      </c>
      <c r="K36" s="40">
        <v>0</v>
      </c>
      <c r="L36" s="40" t="s">
        <v>129</v>
      </c>
      <c r="M36" s="40" t="s">
        <v>129</v>
      </c>
      <c r="N36" s="40">
        <v>0</v>
      </c>
    </row>
    <row r="38" spans="1:14" x14ac:dyDescent="0.25">
      <c r="A38" s="40"/>
      <c r="B38" s="40" t="s">
        <v>213</v>
      </c>
      <c r="C38" s="40" t="s">
        <v>186</v>
      </c>
      <c r="D38" s="40" t="s">
        <v>225</v>
      </c>
      <c r="E38" s="40" t="s">
        <v>226</v>
      </c>
      <c r="F38" s="40" t="s">
        <v>227</v>
      </c>
      <c r="G38" s="40" t="s">
        <v>185</v>
      </c>
      <c r="H38" s="40" t="s">
        <v>25</v>
      </c>
      <c r="I38" s="40" t="s">
        <v>26</v>
      </c>
      <c r="J38" s="40" t="s">
        <v>44</v>
      </c>
    </row>
    <row r="39" spans="1:14" x14ac:dyDescent="0.25">
      <c r="A39" s="40">
        <v>1</v>
      </c>
      <c r="B39" s="40">
        <v>0</v>
      </c>
      <c r="C39" s="40">
        <v>0</v>
      </c>
      <c r="D39" s="40">
        <v>0</v>
      </c>
      <c r="E39" s="40">
        <v>0</v>
      </c>
      <c r="F39" s="40">
        <v>0</v>
      </c>
      <c r="G39" s="40">
        <v>0</v>
      </c>
      <c r="H39" s="40"/>
      <c r="I39" s="40"/>
      <c r="J39" s="40"/>
    </row>
    <row r="40" spans="1:14" x14ac:dyDescent="0.25">
      <c r="A40" s="40">
        <v>2</v>
      </c>
      <c r="B40" s="40">
        <v>1</v>
      </c>
      <c r="C40" s="40">
        <v>2000</v>
      </c>
      <c r="D40" s="40">
        <v>210420</v>
      </c>
      <c r="E40" s="40">
        <v>106080</v>
      </c>
      <c r="F40" s="40">
        <v>128000</v>
      </c>
      <c r="G40" s="40">
        <f>25080+2500</f>
        <v>27580</v>
      </c>
      <c r="H40" s="42">
        <v>0.08</v>
      </c>
      <c r="I40" s="40">
        <v>10</v>
      </c>
      <c r="J40" s="42">
        <v>0.08</v>
      </c>
    </row>
    <row r="41" spans="1:14" x14ac:dyDescent="0.25">
      <c r="A41" s="40">
        <v>3</v>
      </c>
      <c r="B41" s="40">
        <v>2</v>
      </c>
      <c r="C41" s="40">
        <v>3000</v>
      </c>
      <c r="D41" s="40">
        <v>270914</v>
      </c>
      <c r="E41" s="40">
        <v>148590</v>
      </c>
      <c r="F41" s="40">
        <v>148000</v>
      </c>
      <c r="G41" s="40">
        <f>31086+3500</f>
        <v>34586</v>
      </c>
      <c r="H41" s="42">
        <v>0.08</v>
      </c>
      <c r="I41" s="40">
        <v>10</v>
      </c>
      <c r="J41" s="42">
        <v>0.08</v>
      </c>
    </row>
    <row r="42" spans="1:14" x14ac:dyDescent="0.25">
      <c r="A42" s="40">
        <v>4</v>
      </c>
      <c r="B42" s="40">
        <v>3</v>
      </c>
      <c r="C42" s="40">
        <v>4000</v>
      </c>
      <c r="D42" s="40">
        <v>323900</v>
      </c>
      <c r="E42" s="40">
        <v>187460</v>
      </c>
      <c r="F42" s="40">
        <v>165000</v>
      </c>
      <c r="G42" s="40">
        <f>39600+4500</f>
        <v>44100</v>
      </c>
      <c r="H42" s="42">
        <v>0.08</v>
      </c>
      <c r="I42" s="40">
        <v>10</v>
      </c>
      <c r="J42" s="42">
        <v>0.08</v>
      </c>
    </row>
    <row r="43" spans="1:14" x14ac:dyDescent="0.25">
      <c r="A43" s="40">
        <v>5</v>
      </c>
      <c r="B43" s="40">
        <v>4</v>
      </c>
      <c r="C43" s="40">
        <v>5000</v>
      </c>
      <c r="D43" s="40">
        <v>415500</v>
      </c>
      <c r="E43" s="40">
        <v>202020</v>
      </c>
      <c r="F43" s="40">
        <v>175000</v>
      </c>
      <c r="G43" s="40">
        <f>42000+4500</f>
        <v>46500</v>
      </c>
      <c r="H43" s="42">
        <v>0.08</v>
      </c>
      <c r="I43" s="40">
        <v>10</v>
      </c>
      <c r="J43" s="42">
        <v>0.08</v>
      </c>
    </row>
    <row r="45" spans="1:14" x14ac:dyDescent="0.25">
      <c r="E45" s="45"/>
      <c r="F45" s="45"/>
      <c r="G45" s="45"/>
      <c r="H45" s="45"/>
    </row>
    <row r="46" spans="1:14" x14ac:dyDescent="0.25">
      <c r="A46" s="52" t="s">
        <v>52</v>
      </c>
      <c r="B46" s="46"/>
      <c r="C46" s="46"/>
      <c r="E46" s="45"/>
      <c r="F46" s="45"/>
      <c r="G46" s="45"/>
      <c r="H46" s="45"/>
    </row>
    <row r="47" spans="1:14" x14ac:dyDescent="0.25">
      <c r="A47" s="46"/>
      <c r="B47" s="46" t="s">
        <v>53</v>
      </c>
      <c r="C47" s="46" t="s">
        <v>61</v>
      </c>
      <c r="E47" s="45"/>
      <c r="F47" s="45"/>
      <c r="G47" s="45"/>
      <c r="H47" s="45"/>
    </row>
    <row r="48" spans="1:14" x14ac:dyDescent="0.25">
      <c r="A48" s="46" t="s">
        <v>59</v>
      </c>
      <c r="B48" s="46" t="e">
        <f>Roer!#REF!</f>
        <v>#REF!</v>
      </c>
      <c r="C48" s="53" t="e">
        <f>B48*(1-0.0666)</f>
        <v>#REF!</v>
      </c>
      <c r="E48" s="45"/>
      <c r="F48" s="45"/>
      <c r="G48" s="45"/>
      <c r="H48" s="45"/>
    </row>
    <row r="49" spans="1:8" x14ac:dyDescent="0.25">
      <c r="A49" s="46" t="s">
        <v>57</v>
      </c>
      <c r="B49" s="46" t="e">
        <f>Roer!#REF!</f>
        <v>#REF!</v>
      </c>
      <c r="C49" s="46" t="e">
        <f>B49*0.9</f>
        <v>#REF!</v>
      </c>
      <c r="E49" s="45"/>
      <c r="F49" s="45"/>
      <c r="G49" s="45"/>
      <c r="H49" s="45"/>
    </row>
    <row r="50" spans="1:8" x14ac:dyDescent="0.25">
      <c r="A50" s="47" t="s">
        <v>58</v>
      </c>
      <c r="B50" s="47" t="e">
        <f>Roer!#REF!</f>
        <v>#REF!</v>
      </c>
      <c r="C50" s="47" t="e">
        <f>B50*(1-0.0625)</f>
        <v>#REF!</v>
      </c>
      <c r="E50" s="45"/>
      <c r="F50" s="45"/>
      <c r="G50" s="45"/>
      <c r="H50" s="45"/>
    </row>
    <row r="51" spans="1:8" x14ac:dyDescent="0.25">
      <c r="A51" s="46" t="s">
        <v>60</v>
      </c>
      <c r="B51" s="48" t="e">
        <f>B48*B49*B50</f>
        <v>#REF!</v>
      </c>
      <c r="C51" s="48" t="e">
        <f>C48*C49*C50</f>
        <v>#REF!</v>
      </c>
      <c r="E51" s="45"/>
      <c r="F51" s="45"/>
      <c r="G51" s="45"/>
      <c r="H51" s="45"/>
    </row>
    <row r="52" spans="1:8" x14ac:dyDescent="0.25">
      <c r="A52" s="46"/>
      <c r="B52" s="46"/>
      <c r="C52" s="46"/>
      <c r="E52" s="45"/>
      <c r="F52" s="45"/>
      <c r="G52" s="45"/>
      <c r="H52" s="45"/>
    </row>
    <row r="53" spans="1:8" x14ac:dyDescent="0.25">
      <c r="A53" s="54" t="s">
        <v>62</v>
      </c>
      <c r="B53" s="46"/>
      <c r="C53" s="46"/>
      <c r="E53" s="45"/>
      <c r="F53" s="45"/>
      <c r="G53" s="45"/>
      <c r="H53" s="45"/>
    </row>
    <row r="54" spans="1:8" x14ac:dyDescent="0.25">
      <c r="A54" s="46" t="s">
        <v>63</v>
      </c>
      <c r="B54" s="48">
        <f>Roer!M12</f>
        <v>344.10068027210889</v>
      </c>
      <c r="C54" s="46"/>
      <c r="E54" s="45"/>
      <c r="F54" s="45"/>
      <c r="G54" s="45"/>
      <c r="H54" s="45"/>
    </row>
    <row r="55" spans="1:8" x14ac:dyDescent="0.25">
      <c r="A55" s="46" t="s">
        <v>24</v>
      </c>
      <c r="B55" s="46">
        <f>Roer!M15</f>
        <v>-65.215813515745822</v>
      </c>
      <c r="C55" s="46"/>
      <c r="E55" s="45"/>
      <c r="F55" s="45"/>
      <c r="G55" s="45"/>
      <c r="H55" s="45"/>
    </row>
    <row r="56" spans="1:8" x14ac:dyDescent="0.25">
      <c r="A56" s="46"/>
      <c r="B56" s="46"/>
      <c r="C56" s="46"/>
      <c r="E56" s="45"/>
      <c r="F56" s="45"/>
      <c r="G56" s="45"/>
      <c r="H56" s="45"/>
    </row>
    <row r="57" spans="1:8" x14ac:dyDescent="0.25">
      <c r="A57" s="46" t="s">
        <v>64</v>
      </c>
      <c r="B57" s="49" t="e">
        <f>C50*1*C48</f>
        <v>#REF!</v>
      </c>
      <c r="C57" s="46"/>
      <c r="E57" s="45"/>
      <c r="F57" s="45"/>
      <c r="G57" s="45"/>
      <c r="H57" s="45"/>
    </row>
    <row r="58" spans="1:8" x14ac:dyDescent="0.25">
      <c r="A58" s="46" t="s">
        <v>65</v>
      </c>
      <c r="B58" s="50" t="e">
        <f>(B50*1*B55+1*2*B54)</f>
        <v>#REF!</v>
      </c>
      <c r="C58" s="46"/>
      <c r="E58" s="45"/>
      <c r="F58" s="45"/>
      <c r="G58" s="45"/>
      <c r="H58" s="45"/>
    </row>
    <row r="59" spans="1:8" x14ac:dyDescent="0.25">
      <c r="A59" s="46"/>
      <c r="B59" s="50"/>
      <c r="C59" s="46"/>
      <c r="D59" s="58"/>
      <c r="E59" s="45"/>
      <c r="F59" s="45"/>
      <c r="G59" s="45"/>
      <c r="H59" s="45"/>
    </row>
    <row r="60" spans="1:8" x14ac:dyDescent="0.25">
      <c r="A60" s="46" t="s">
        <v>69</v>
      </c>
      <c r="B60" s="48" t="e">
        <f>IF(Roer!C6*Roer!C7&gt;Roer!C12*Rådata!C51,(CEILING((Roer!C6*Roer!C7-Rådata!C51*Roer!C12)/(Rådata!B57*Roer!C12),1))*B58,0)</f>
        <v>#REF!</v>
      </c>
      <c r="C60" s="46"/>
      <c r="D60" s="57"/>
      <c r="E60" s="45"/>
      <c r="F60" s="45"/>
      <c r="G60" s="45"/>
      <c r="H60" s="45"/>
    </row>
    <row r="61" spans="1:8" x14ac:dyDescent="0.25">
      <c r="A61" s="46"/>
      <c r="B61" s="46"/>
      <c r="C61" s="46"/>
      <c r="E61" s="45"/>
      <c r="F61" s="45"/>
      <c r="G61" s="45"/>
      <c r="H61" s="45"/>
    </row>
    <row r="62" spans="1:8" x14ac:dyDescent="0.25">
      <c r="A62" s="46" t="s">
        <v>66</v>
      </c>
      <c r="B62" s="48" t="e">
        <f>(B54*(2*B49+B50)+B49*B50*B55)+B60</f>
        <v>#REF!</v>
      </c>
      <c r="C62" s="46"/>
      <c r="E62" s="45"/>
      <c r="F62" s="45"/>
      <c r="G62" s="45"/>
      <c r="H62" s="45"/>
    </row>
    <row r="63" spans="1:8" x14ac:dyDescent="0.25">
      <c r="A63" s="55" t="s">
        <v>68</v>
      </c>
      <c r="B63" s="51" t="e">
        <f>B62*1.1</f>
        <v>#REF!</v>
      </c>
      <c r="C63" s="46"/>
      <c r="E63" s="45"/>
      <c r="F63" s="45"/>
      <c r="G63" s="45"/>
      <c r="H63" s="45"/>
    </row>
    <row r="64" spans="1:8" x14ac:dyDescent="0.25">
      <c r="A64" s="46" t="s">
        <v>67</v>
      </c>
      <c r="B64" s="48" t="e">
        <f>B63*Roer!#REF!*-1</f>
        <v>#REF!</v>
      </c>
      <c r="C64" s="46"/>
      <c r="E64" s="45"/>
      <c r="F64" s="45"/>
      <c r="G64" s="45"/>
      <c r="H64" s="45"/>
    </row>
    <row r="65" spans="1:8" x14ac:dyDescent="0.25">
      <c r="A65" s="46"/>
      <c r="B65" s="46"/>
      <c r="C65" s="46"/>
      <c r="E65" s="45"/>
      <c r="F65" s="45"/>
      <c r="G65" s="45"/>
      <c r="H65" s="45"/>
    </row>
  </sheetData>
  <mergeCells count="1">
    <mergeCell ref="A1:M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3">
    <tabColor theme="6" tint="0.59999389629810485"/>
  </sheetPr>
  <dimension ref="A1:I23"/>
  <sheetViews>
    <sheetView workbookViewId="0">
      <selection activeCell="B11" sqref="B11"/>
    </sheetView>
  </sheetViews>
  <sheetFormatPr defaultRowHeight="15" x14ac:dyDescent="0.25"/>
  <cols>
    <col min="1" max="1" width="36.7109375" style="5" customWidth="1"/>
    <col min="2" max="2" width="15.42578125" style="5" customWidth="1"/>
    <col min="3" max="16384" width="9.140625" style="5"/>
  </cols>
  <sheetData>
    <row r="1" spans="1:9" ht="21" x14ac:dyDescent="0.35">
      <c r="A1" s="8" t="s">
        <v>543</v>
      </c>
      <c r="B1" s="67" t="s">
        <v>544</v>
      </c>
    </row>
    <row r="3" spans="1:9" x14ac:dyDescent="0.25">
      <c r="A3" s="369" t="s">
        <v>16</v>
      </c>
      <c r="B3" s="369" t="s">
        <v>550</v>
      </c>
      <c r="C3" s="9"/>
    </row>
    <row r="4" spans="1:9" x14ac:dyDescent="0.25">
      <c r="A4" s="9"/>
      <c r="B4" s="9"/>
      <c r="C4" s="9"/>
    </row>
    <row r="5" spans="1:9" x14ac:dyDescent="0.25">
      <c r="A5" s="9"/>
      <c r="B5" s="9"/>
      <c r="C5" s="9"/>
    </row>
    <row r="6" spans="1:9" x14ac:dyDescent="0.25">
      <c r="A6" s="370" t="s">
        <v>15</v>
      </c>
      <c r="B6" s="371">
        <f>SUM(Majs!C16:C20)/Majsmarkudbytte</f>
        <v>-135.35135135135135</v>
      </c>
      <c r="C6" s="372" t="s">
        <v>346</v>
      </c>
    </row>
    <row r="7" spans="1:9" x14ac:dyDescent="0.25">
      <c r="A7" s="370" t="s">
        <v>533</v>
      </c>
      <c r="B7" s="373">
        <f>(SUM(Majs!C25:C33)/Majsmarkudbytte)+(SUM(Majs!C34:C37)/Majsudbytte)</f>
        <v>-188.64864864864865</v>
      </c>
      <c r="C7" s="372" t="s">
        <v>346</v>
      </c>
    </row>
    <row r="8" spans="1:9" x14ac:dyDescent="0.25">
      <c r="A8" s="370" t="s">
        <v>534</v>
      </c>
      <c r="B8" s="382">
        <f>Majs!H18+(CEILING((Majs!H17-1),1)*Majs!H19)</f>
        <v>-205.33433216634063</v>
      </c>
      <c r="C8" s="372" t="s">
        <v>346</v>
      </c>
    </row>
    <row r="9" spans="1:9" x14ac:dyDescent="0.25">
      <c r="A9" s="370" t="s">
        <v>228</v>
      </c>
      <c r="B9" s="373">
        <f>(2*((Majsafstand/MajsKøreHast)*MajsKørepris)*(Majs!H10/MajsKøreKap))/Majsudbytte</f>
        <v>-8.090614886731391</v>
      </c>
      <c r="C9" s="372" t="s">
        <v>346</v>
      </c>
    </row>
    <row r="10" spans="1:9" x14ac:dyDescent="0.25">
      <c r="A10" s="370" t="s">
        <v>558</v>
      </c>
      <c r="B10" s="373">
        <f>SUM(B6:B9)</f>
        <v>-537.42494705307195</v>
      </c>
      <c r="C10" s="372" t="s">
        <v>346</v>
      </c>
      <c r="D10" s="377">
        <f>B10*Majs!C9/1000</f>
        <v>-0.16122748411592158</v>
      </c>
      <c r="E10" s="5" t="s">
        <v>552</v>
      </c>
    </row>
    <row r="11" spans="1:9" x14ac:dyDescent="0.25">
      <c r="A11" s="370" t="s">
        <v>559</v>
      </c>
      <c r="B11" s="403">
        <f>(B10/Majs!C9)/1000</f>
        <v>-1.7914164901769065</v>
      </c>
      <c r="C11" s="372" t="s">
        <v>552</v>
      </c>
      <c r="D11" s="377" t="s">
        <v>648</v>
      </c>
    </row>
    <row r="12" spans="1:9" x14ac:dyDescent="0.25">
      <c r="A12" s="367" t="s">
        <v>535</v>
      </c>
      <c r="B12" s="368">
        <f>B10*Majsudbytte</f>
        <v>-994236.15204818314</v>
      </c>
      <c r="C12" s="248" t="s">
        <v>299</v>
      </c>
      <c r="E12" s="5" t="s">
        <v>553</v>
      </c>
      <c r="F12" s="5" t="s">
        <v>551</v>
      </c>
    </row>
    <row r="14" spans="1:9" x14ac:dyDescent="0.25">
      <c r="A14" s="33" t="s">
        <v>646</v>
      </c>
      <c r="B14" s="402">
        <f>majsMetan*Majsmarkudbytte*MajsVS</f>
        <v>3015.87</v>
      </c>
      <c r="C14" s="33" t="s">
        <v>647</v>
      </c>
    </row>
    <row r="15" spans="1:9" x14ac:dyDescent="0.25">
      <c r="A15" s="378" t="s">
        <v>378</v>
      </c>
      <c r="B15" s="401">
        <f>EnergiMetan*majsMetan*MajsVS</f>
        <v>815.09999999999991</v>
      </c>
      <c r="C15" s="231" t="s">
        <v>377</v>
      </c>
      <c r="I15" s="5">
        <f>EnergiMetan</f>
        <v>10</v>
      </c>
    </row>
    <row r="16" spans="1:9" x14ac:dyDescent="0.25">
      <c r="A16" s="233" t="s">
        <v>382</v>
      </c>
      <c r="B16" s="373">
        <f>B15*Elprocent</f>
        <v>326.03999999999996</v>
      </c>
      <c r="C16" s="225" t="s">
        <v>377</v>
      </c>
    </row>
    <row r="17" spans="1:8" x14ac:dyDescent="0.25">
      <c r="A17" s="233" t="s">
        <v>381</v>
      </c>
      <c r="B17" s="373">
        <f>B15*Varmeprocent</f>
        <v>407.54999999999995</v>
      </c>
      <c r="C17" s="225" t="s">
        <v>377</v>
      </c>
    </row>
    <row r="18" spans="1:8" x14ac:dyDescent="0.25">
      <c r="A18" s="226" t="s">
        <v>379</v>
      </c>
      <c r="B18" s="373">
        <f>B16*Elpris</f>
        <v>361.90440000000001</v>
      </c>
      <c r="C18" s="229" t="s">
        <v>346</v>
      </c>
      <c r="H18"/>
    </row>
    <row r="19" spans="1:8" x14ac:dyDescent="0.25">
      <c r="A19" s="226" t="s">
        <v>380</v>
      </c>
      <c r="B19" s="373">
        <f>B17*Varmepris</f>
        <v>101.88749999999999</v>
      </c>
      <c r="C19" s="225" t="s">
        <v>346</v>
      </c>
      <c r="E19"/>
    </row>
    <row r="20" spans="1:8" x14ac:dyDescent="0.25">
      <c r="A20" s="226" t="s">
        <v>383</v>
      </c>
      <c r="B20" s="373">
        <f>B18+B19</f>
        <v>463.7919</v>
      </c>
      <c r="C20" s="229" t="s">
        <v>346</v>
      </c>
    </row>
    <row r="21" spans="1:8" x14ac:dyDescent="0.25">
      <c r="A21" s="251" t="s">
        <v>389</v>
      </c>
      <c r="B21" s="376">
        <f>B20*Majsudbytte</f>
        <v>858015.01500000001</v>
      </c>
      <c r="C21" s="248" t="s">
        <v>299</v>
      </c>
    </row>
    <row r="23" spans="1:8" x14ac:dyDescent="0.25">
      <c r="A23" s="365" t="s">
        <v>166</v>
      </c>
      <c r="B23" s="375">
        <f>B12+B21</f>
        <v>-136221.13704818313</v>
      </c>
      <c r="C23" s="366" t="s">
        <v>363</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81" r:id="rId4" name="Button 1">
              <controlPr defaultSize="0" print="0" autoFill="0" autoPict="0" macro="[0]!TilbageTilIndtastningRoer">
                <anchor moveWithCells="1" sizeWithCells="1">
                  <from>
                    <xdr:col>0</xdr:col>
                    <xdr:colOff>47625</xdr:colOff>
                    <xdr:row>23</xdr:row>
                    <xdr:rowOff>142875</xdr:rowOff>
                  </from>
                  <to>
                    <xdr:col>1</xdr:col>
                    <xdr:colOff>1000125</xdr:colOff>
                    <xdr:row>25</xdr:row>
                    <xdr:rowOff>104775</xdr:rowOff>
                  </to>
                </anchor>
              </controlPr>
            </control>
          </mc:Choice>
        </mc:AlternateContent>
        <mc:AlternateContent xmlns:mc="http://schemas.openxmlformats.org/markup-compatibility/2006">
          <mc:Choice Requires="x14">
            <control shapeId="174082" r:id="rId5" name="Button 2">
              <controlPr defaultSize="0" print="0" autoFill="0" autoPict="0" macro="[0]!TilbageTilHovedmenuFraResultaterRoer">
                <anchor moveWithCells="1" sizeWithCells="1">
                  <from>
                    <xdr:col>0</xdr:col>
                    <xdr:colOff>57150</xdr:colOff>
                    <xdr:row>26</xdr:row>
                    <xdr:rowOff>47625</xdr:rowOff>
                  </from>
                  <to>
                    <xdr:col>1</xdr:col>
                    <xdr:colOff>1009650</xdr:colOff>
                    <xdr:row>28</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2014-12-16T09:35:52+00:00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Regneark.</Comments>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90" ma:contentTypeDescription="Den primære contenttype der anvendes på Landbrugsinfo" ma:contentTypeScope="" ma:versionID="fc7fd3f2cdc8c0b7cd7361b4ba5e8929">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xmlns:ns9="36a6432d-2080-4aea-9e49-bd65694160a7" targetNamespace="http://schemas.microsoft.com/office/2006/metadata/properties" ma:root="true" ma:fieldsID="0197597784d5f1cbacac5e67ac370b1c" ns1:_="" ns2:_="" ns3:_="" ns4:_="" ns5:_="" ns6:_="" ns7:_="" ns8:_="" ns9: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import namespace="36a6432d-2080-4aea-9e49-bd65694160a7"/>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element ref="ns9:WebInfoLawCodes" minOccurs="0"/>
                <xsd:element ref="ns9:Afrapport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1" nillable="true" ma:displayName="Dynamisk sideindhold (1)" ma:internalName="DynamicPublishingContent0">
      <xsd:simpleType>
        <xsd:restriction base="dms:Unknown"/>
      </xsd:simpleType>
    </xsd:element>
    <xsd:element name="DynamicPublishingContent1" ma:index="42" nillable="true" ma:displayName="Dynamisk sideindhold (2)" ma:internalName="DynamicPublishingContent1">
      <xsd:simpleType>
        <xsd:restriction base="dms:Unknown"/>
      </xsd:simpleType>
    </xsd:element>
    <xsd:element name="DynamicPublishingContent2" ma:index="43" nillable="true" ma:displayName="Dynamisk sideindhold (3)" ma:internalName="DynamicPublishingContent2">
      <xsd:simpleType>
        <xsd:restriction base="dms:Unknown"/>
      </xsd:simpleType>
    </xsd:element>
    <xsd:element name="DynamicPublishingContent3" ma:index="44" nillable="true" ma:displayName="Dynamisk sideindhold (4)" ma:internalName="DynamicPublishingContent3">
      <xsd:simpleType>
        <xsd:restriction base="dms:Unknown"/>
      </xsd:simpleType>
    </xsd:element>
    <xsd:element name="DynamicPublishingContent4" ma:index="45" nillable="true" ma:displayName="Dynamisk sideindhold (5)" ma:internalName="DynamicPublishingContent4">
      <xsd:simpleType>
        <xsd:restriction base="dms:Unknown"/>
      </xsd:simpleType>
    </xsd:element>
    <xsd:element name="DynamicPublishingContent5" ma:index="46" nillable="true" ma:displayName="Dynamisk sideindhold (6)" ma:internalName="DynamicPublishingContent5">
      <xsd:simpleType>
        <xsd:restriction base="dms:Unknown"/>
      </xsd:simpleType>
    </xsd:element>
    <xsd:element name="DynamicPublishingContent6" ma:index="62" nillable="true" ma:displayName="Dynamisk sideindhold (7)" ma:hidden="true" ma:internalName="DynamicPublishingContent6">
      <xsd:simpleType>
        <xsd:restriction base="dms:Unknown"/>
      </xsd:simpleType>
    </xsd:element>
    <xsd:element name="DynamicPublishingContent7" ma:index="63" nillable="true" ma:displayName="Dynamisk sideindhold (8)" ma:hidden="true" ma:internalName="DynamicPublishingContent7">
      <xsd:simpleType>
        <xsd:restriction base="dms:Unknown"/>
      </xsd:simpleType>
    </xsd:element>
    <xsd:element name="DynamicPublishingContent8" ma:index="64" nillable="true" ma:displayName="Dynamisk sideindhold (9)" ma:hidden="true" ma:internalName="DynamicPublishingContent8">
      <xsd:simpleType>
        <xsd:restriction base="dms:Unknown"/>
      </xsd:simpleType>
    </xsd:element>
    <xsd:element name="DynamicPublishingContent9" ma:index="65" nillable="true" ma:displayName="Dynamisk sideindhold (10)" ma:hidden="true" ma:internalName="DynamicPublishingContent9">
      <xsd:simpleType>
        <xsd:restriction base="dms:Unknown"/>
      </xsd:simpleType>
    </xsd:element>
    <xsd:element name="DynamicPublishingContent10" ma:index="66" nillable="true" ma:displayName="Dynamisk sideindhold (11)" ma:hidden="true" ma:internalName="DynamicPublishingContent10">
      <xsd:simpleType>
        <xsd:restriction base="dms:Unknown"/>
      </xsd:simpleType>
    </xsd:element>
    <xsd:element name="DynamicPublishingContent11" ma:index="67" nillable="true" ma:displayName="Dynamisk sideindhold (12)" ma:hidden="true" ma:internalName="DynamicPublishingContent11">
      <xsd:simpleType>
        <xsd:restriction base="dms:Unknown"/>
      </xsd:simpleType>
    </xsd:element>
    <xsd:element name="DynamicPublishingContent12" ma:index="68" nillable="true" ma:displayName="Dynamisk sideindhold (13)" ma:hidden="true" ma:internalName="DynamicPublishingContent12">
      <xsd:simpleType>
        <xsd:restriction base="dms:Unknown"/>
      </xsd:simpleType>
    </xsd:element>
    <xsd:element name="DynamicPublishingContent13" ma:index="69" nillable="true" ma:displayName="Dynamisk sideindhold (14)" ma:hidden="true" ma:internalName="DynamicPublishingContent13">
      <xsd:simpleType>
        <xsd:restriction base="dms:Unknown"/>
      </xsd:simpleType>
    </xsd:element>
    <xsd:element name="DynamicPublishingContent14" ma:index="70"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4"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5"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6" nillable="true" ma:displayName="HitCount (system)" ma:decimals="0" ma:default="0" ma:description="Antal gange et dokument er set af en bruger" ma:internalName="HitCount" ma:readOnly="false">
      <xsd:simpleType>
        <xsd:restriction base="dms:Number"/>
      </xsd:simpleType>
    </xsd:element>
    <xsd:element name="PermalinkID" ma:index="57"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58"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9" nillable="true" ma:displayName="Værdi for dokument-id" ma:description="Værdien af det dokument-id, der er tildelt dette element." ma:internalName="_dlc_DocId" ma:readOnly="true">
      <xsd:simpleType>
        <xsd:restriction base="dms:Text"/>
      </xsd:simpleType>
    </xsd:element>
    <xsd:element name="_dlc_DocIdUrl" ma:index="60"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a6432d-2080-4aea-9e49-bd65694160a7" elementFormDefault="qualified">
    <xsd:import namespace="http://schemas.microsoft.com/office/2006/documentManagement/types"/>
    <xsd:import namespace="http://schemas.microsoft.com/office/infopath/2007/PartnerControls"/>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8" nillable="true" ma:displayName="Afrapportering" ma:list="{126d356a-4f5c-4bbb-91a6-e07af1934e19}" ma:internalName="Afrapportering" ma:showField="LinkTitleNoMenu" ma:web="{303eeafb-7dff-46db-9396-e9c651f530ea}">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5898916A9D62F94888205B23A5EF490C"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51f0e1e0d95e28e5ef6c34c9834fbb6">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FEC18F-C9E7-41AD-A6B9-A60E90D4DCE4}"/>
</file>

<file path=customXml/itemProps2.xml><?xml version="1.0" encoding="utf-8"?>
<ds:datastoreItem xmlns:ds="http://schemas.openxmlformats.org/officeDocument/2006/customXml" ds:itemID="{23F22C70-0161-480B-8CF3-5EFEE5DB80FB}"/>
</file>

<file path=customXml/itemProps3.xml><?xml version="1.0" encoding="utf-8"?>
<ds:datastoreItem xmlns:ds="http://schemas.openxmlformats.org/officeDocument/2006/customXml" ds:itemID="{E93937E6-743E-4215-B9CD-8F58877DC0A0}"/>
</file>

<file path=customXml/itemProps4.xml><?xml version="1.0" encoding="utf-8"?>
<ds:datastoreItem xmlns:ds="http://schemas.openxmlformats.org/officeDocument/2006/customXml" ds:itemID="{00913872-CC80-4458-9D27-894C58A290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132</vt:i4>
      </vt:variant>
    </vt:vector>
  </HeadingPairs>
  <TitlesOfParts>
    <vt:vector size="151" baseType="lpstr">
      <vt:lpstr>Hovedmenu</vt:lpstr>
      <vt:lpstr>Indtastningsark_halm</vt:lpstr>
      <vt:lpstr>Resultater - halm</vt:lpstr>
      <vt:lpstr>Majs</vt:lpstr>
      <vt:lpstr>Roer</vt:lpstr>
      <vt:lpstr>Rådata roer</vt:lpstr>
      <vt:lpstr>Rådata_majs</vt:lpstr>
      <vt:lpstr>Rådata</vt:lpstr>
      <vt:lpstr>Resultater - majs</vt:lpstr>
      <vt:lpstr>Resultater - roer</vt:lpstr>
      <vt:lpstr>Forudsætninger</vt:lpstr>
      <vt:lpstr>Forudsætninger_Hvede</vt:lpstr>
      <vt:lpstr>Lager</vt:lpstr>
      <vt:lpstr>Ark1</vt:lpstr>
      <vt:lpstr>Indtastningsark - gylle</vt:lpstr>
      <vt:lpstr>Indtastningsark - dybstrøelse</vt:lpstr>
      <vt:lpstr>Resultater - gylle</vt:lpstr>
      <vt:lpstr>Resultater - dybstrøelse</vt:lpstr>
      <vt:lpstr>DRIFT data</vt:lpstr>
      <vt:lpstr>Afskrivning</vt:lpstr>
      <vt:lpstr>AfstanBrSt</vt:lpstr>
      <vt:lpstr>Afstand</vt:lpstr>
      <vt:lpstr>AfstandAnlæg</vt:lpstr>
      <vt:lpstr>AfstandBrSt</vt:lpstr>
      <vt:lpstr>AfstandLager</vt:lpstr>
      <vt:lpstr>AnlægKMperTIME</vt:lpstr>
      <vt:lpstr>AnlægTransportKapNY</vt:lpstr>
      <vt:lpstr>AntalEkBr</vt:lpstr>
      <vt:lpstr>Behandling</vt:lpstr>
      <vt:lpstr>Bigballe_Kap_1mand_Ton</vt:lpstr>
      <vt:lpstr>Bigballepresning</vt:lpstr>
      <vt:lpstr>Bigballevægt</vt:lpstr>
      <vt:lpstr>Br_Forsik</vt:lpstr>
      <vt:lpstr>Br_installation</vt:lpstr>
      <vt:lpstr>Br_Levetid</vt:lpstr>
      <vt:lpstr>Br_Rapshalm</vt:lpstr>
      <vt:lpstr>BrAflæsKap</vt:lpstr>
      <vt:lpstr>BrAfstand</vt:lpstr>
      <vt:lpstr>BrAntal</vt:lpstr>
      <vt:lpstr>BrDrift</vt:lpstr>
      <vt:lpstr>BrDriftTon</vt:lpstr>
      <vt:lpstr>Bri_prisdel1</vt:lpstr>
      <vt:lpstr>Briketpresser</vt:lpstr>
      <vt:lpstr>BrKap</vt:lpstr>
      <vt:lpstr>BrLæsseKap</vt:lpstr>
      <vt:lpstr>BrLæssetimepris</vt:lpstr>
      <vt:lpstr>BrPrisDel2</vt:lpstr>
      <vt:lpstr>BrPrisSamlet</vt:lpstr>
      <vt:lpstr>BrTipKap</vt:lpstr>
      <vt:lpstr>BrTipvogn</vt:lpstr>
      <vt:lpstr>BrVedlige</vt:lpstr>
      <vt:lpstr>BrYdelse</vt:lpstr>
      <vt:lpstr>DensBr</vt:lpstr>
      <vt:lpstr>Densitet_bigballe</vt:lpstr>
      <vt:lpstr>Eks_Drift</vt:lpstr>
      <vt:lpstr>Eks_Kap</vt:lpstr>
      <vt:lpstr>Eks_levetid</vt:lpstr>
      <vt:lpstr>Eks_pris</vt:lpstr>
      <vt:lpstr>Eks_Raps</vt:lpstr>
      <vt:lpstr>EksForb</vt:lpstr>
      <vt:lpstr>Elpris</vt:lpstr>
      <vt:lpstr>Elprocent</vt:lpstr>
      <vt:lpstr>EnergiMetan</vt:lpstr>
      <vt:lpstr>Energipris</vt:lpstr>
      <vt:lpstr>Ex_driftogVedlige</vt:lpstr>
      <vt:lpstr>EX_forsik</vt:lpstr>
      <vt:lpstr>Ex_kap</vt:lpstr>
      <vt:lpstr>Ex_levetid</vt:lpstr>
      <vt:lpstr>Ex_pris</vt:lpstr>
      <vt:lpstr>Forudsætninger_Hvede!F_kapacitet_baller_1mand</vt:lpstr>
      <vt:lpstr>Forudsætninger_Hvede!F_Storballepresser</vt:lpstr>
      <vt:lpstr>F_Storballepresser</vt:lpstr>
      <vt:lpstr>Frontlæsse_hast</vt:lpstr>
      <vt:lpstr>Frontlæssehast_mark</vt:lpstr>
      <vt:lpstr>Hammermølle</vt:lpstr>
      <vt:lpstr>HøstUdbytte</vt:lpstr>
      <vt:lpstr>KapBigballer</vt:lpstr>
      <vt:lpstr>L_Tipvogn</vt:lpstr>
      <vt:lpstr>LAGER_LÅN_LØBETID</vt:lpstr>
      <vt:lpstr>Lagertype</vt:lpstr>
      <vt:lpstr>Lastbil2_tonlæs</vt:lpstr>
      <vt:lpstr>Lastbil2Vogn</vt:lpstr>
      <vt:lpstr>Lastbil3</vt:lpstr>
      <vt:lpstr>lastbil3_tonlæs</vt:lpstr>
      <vt:lpstr>Lastbil4_tonlæs</vt:lpstr>
      <vt:lpstr>Lastbil5</vt:lpstr>
      <vt:lpstr>Lastbil5_tonlæs</vt:lpstr>
      <vt:lpstr>LastbilHast</vt:lpstr>
      <vt:lpstr>LæsseAnlægPris</vt:lpstr>
      <vt:lpstr>LæsseHastAnlæg</vt:lpstr>
      <vt:lpstr>LæsseHastLand</vt:lpstr>
      <vt:lpstr>LæsseLandPris</vt:lpstr>
      <vt:lpstr>Løbetid</vt:lpstr>
      <vt:lpstr>Løbetid10</vt:lpstr>
      <vt:lpstr>Majsafstand</vt:lpstr>
      <vt:lpstr>MajsEnsDensitet</vt:lpstr>
      <vt:lpstr>MajsJordtype</vt:lpstr>
      <vt:lpstr>MajsKøreHast</vt:lpstr>
      <vt:lpstr>MajsKøreKap</vt:lpstr>
      <vt:lpstr>MajsKørepris</vt:lpstr>
      <vt:lpstr>Majsmarkudbytte</vt:lpstr>
      <vt:lpstr>majsMetan</vt:lpstr>
      <vt:lpstr>MajsPlansilo</vt:lpstr>
      <vt:lpstr>MajsPlansilo2</vt:lpstr>
      <vt:lpstr>MajsSnitDensitet</vt:lpstr>
      <vt:lpstr>Majstal</vt:lpstr>
      <vt:lpstr>Majsudbytte</vt:lpstr>
      <vt:lpstr>MajsVS</vt:lpstr>
      <vt:lpstr>MARK_STØRRELSE</vt:lpstr>
      <vt:lpstr>MetanBr</vt:lpstr>
      <vt:lpstr>MetanHvedehalm</vt:lpstr>
      <vt:lpstr>MetanRaps</vt:lpstr>
      <vt:lpstr>Plansilo</vt:lpstr>
      <vt:lpstr>PresserKap</vt:lpstr>
      <vt:lpstr>Rente</vt:lpstr>
      <vt:lpstr>Renter</vt:lpstr>
      <vt:lpstr>Roe_gødning</vt:lpstr>
      <vt:lpstr>Roeafstandanlæg</vt:lpstr>
      <vt:lpstr>Roeafstandkule</vt:lpstr>
      <vt:lpstr>Roedensitet</vt:lpstr>
      <vt:lpstr>RoeJordtype</vt:lpstr>
      <vt:lpstr>Roekulelæs</vt:lpstr>
      <vt:lpstr>Roelager</vt:lpstr>
      <vt:lpstr>RoeLæsKule</vt:lpstr>
      <vt:lpstr>Roemarkudbytte</vt:lpstr>
      <vt:lpstr>RoeMetan</vt:lpstr>
      <vt:lpstr>Roeplansilo</vt:lpstr>
      <vt:lpstr>Roepulpdensitet</vt:lpstr>
      <vt:lpstr>Roerens</vt:lpstr>
      <vt:lpstr>Roetal</vt:lpstr>
      <vt:lpstr>RoeTransAnlægPris</vt:lpstr>
      <vt:lpstr>RoeTransKulePris</vt:lpstr>
      <vt:lpstr>RoeTS</vt:lpstr>
      <vt:lpstr>RoeUdbytte</vt:lpstr>
      <vt:lpstr>RoeVS</vt:lpstr>
      <vt:lpstr>Sammenrivning</vt:lpstr>
      <vt:lpstr>Storballevægt</vt:lpstr>
      <vt:lpstr>T_Tipvogn</vt:lpstr>
      <vt:lpstr>Traktor_Hastighed_mark</vt:lpstr>
      <vt:lpstr>Forudsætninger_Hvede!TraktorFrontVogn</vt:lpstr>
      <vt:lpstr>TraktorHalmvogn</vt:lpstr>
      <vt:lpstr>TraktorHastVej</vt:lpstr>
      <vt:lpstr>TraktorPrisLager</vt:lpstr>
      <vt:lpstr>TransAnlægKap</vt:lpstr>
      <vt:lpstr>TransAnlægPris</vt:lpstr>
      <vt:lpstr>Transport_Hast</vt:lpstr>
      <vt:lpstr>UDBYTTE_PR_HA</vt:lpstr>
      <vt:lpstr>Varmepris</vt:lpstr>
      <vt:lpstr>Varmeprocent</vt:lpstr>
      <vt:lpstr>VS</vt:lpstr>
      <vt:lpstr>YdelseMaskiner</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dyrkning</dc:title>
  <dc:creator>Ida Kjærgaard;Lone Abildgaard</dc:creator>
  <cp:lastModifiedBy>Lotte Buchtrup Hornbek</cp:lastModifiedBy>
  <cp:lastPrinted>2014-12-12T12:06:06Z</cp:lastPrinted>
  <dcterms:created xsi:type="dcterms:W3CDTF">2014-03-05T07:52:02Z</dcterms:created>
  <dcterms:modified xsi:type="dcterms:W3CDTF">2014-12-16T09:33:23Z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0x010100C568DB52D9D0A14D9B2FDCC96666E9F2007948130EC3DB064584E219954237AF3900242457EFB8B24247815D688C526CD44D005898916A9D62F94888205B23A5EF490C</vt:lpwstr>
  </property>
  <property fmtid="{D5CDD505-2E9C-101B-9397-08002B2CF9AE}" pid="3" name="_dlc_DocIdItemGuid">
    <vt:lpwstr>77d6644a-3e73-47b0-8c9a-e218303776f4</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false</vt:bool>
  </property>
  <property fmtid="{D5CDD505-2E9C-101B-9397-08002B2CF9AE}" pid="9" name="Revisionsdato">
    <vt:filetime>2014-12-16T08:34:00Z</vt:filetime>
  </property>
  <property fmtid="{D5CDD505-2E9C-101B-9397-08002B2CF9AE}" pid="10" name="WebInfo_FinansieringsLink">
    <vt:lpwstr>77d6644a-3e73-47b0-8c9a-e218303776f4</vt:lpwstr>
  </property>
  <property fmtid="{D5CDD505-2E9C-101B-9397-08002B2CF9AE}" pid="11" name="EnclosureFor">
    <vt:lpwstr/>
  </property>
  <property fmtid="{D5CDD505-2E9C-101B-9397-08002B2CF9AE}" pid="12" name="KnowledgeArticle">
    <vt:bool>false</vt:bool>
  </property>
</Properties>
</file>